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vsd" ContentType="application/vnd.visi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8_{6C824ABA-6E92-4E89-B5C0-D4D6E5A785DF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FAN9673 Design Tool" sheetId="1" r:id="rId1"/>
  </sheets>
  <definedNames>
    <definedName name="AA">'FAN9673 Design Tool'!$D$155</definedName>
    <definedName name="BB">'FAN9673 Design Tool'!#REF!</definedName>
    <definedName name="CBULK">'FAN9673 Design Tool'!$B$141</definedName>
    <definedName name="CC">'FAN9673 Design Tool'!#REF!</definedName>
    <definedName name="D">'FAN9673 Design Tool'!$B$145</definedName>
    <definedName name="DD">'FAN9673 Design Tool'!#REF!</definedName>
    <definedName name="EE">'FAN9673 Design Tool'!$D$156</definedName>
    <definedName name="Eff">'FAN9673 Design Tool'!$B$11</definedName>
    <definedName name="fH">'FAN9673 Design Tool'!$B$158</definedName>
    <definedName name="fi">'FAN9673 Design Tool'!#REF!</definedName>
    <definedName name="fIC">'FAN9673 Design Tool'!$B$159</definedName>
    <definedName name="fIP">'FAN9673 Design Tool'!$B$160</definedName>
    <definedName name="fp">'FAN9673 Design Tool'!#REF!</definedName>
    <definedName name="fp_1">'FAN9673 Design Tool'!#REF!</definedName>
    <definedName name="fsw">'FAN9673 Design Tool'!$B$21</definedName>
    <definedName name="fVC">'FAN9673 Design Tool'!$B$163</definedName>
    <definedName name="fVH">'FAN9673 Design Tool'!$B$162</definedName>
    <definedName name="fVP">'FAN9673 Design Tool'!$B$164</definedName>
    <definedName name="fz">'FAN9673 Design Tool'!#REF!</definedName>
    <definedName name="fz_1">'FAN9673 Design Tool'!#REF!</definedName>
    <definedName name="fzr">'FAN9673 Design Tool'!#REF!</definedName>
    <definedName name="GMI">'FAN9673 Design Tool'!$B$148</definedName>
    <definedName name="GMV">'FAN9673 Design Tool'!$B$149</definedName>
    <definedName name="Idavg">'FAN9673 Design Tool'!$B$166</definedName>
    <definedName name="k_1">'FAN9673 Design Tool'!#REF!</definedName>
    <definedName name="kk">'FAN9673 Design Tool'!$D$158</definedName>
    <definedName name="L">'FAN9673 Design Tool'!$B$139</definedName>
    <definedName name="Nch">'FAN9673 Design Tool'!$B$10</definedName>
    <definedName name="Pin">'FAN9673 Design Tool'!$B$12</definedName>
    <definedName name="PO">'FAN9673 Design Tool'!$B$144</definedName>
    <definedName name="Pout">'FAN9673 Design Tool'!$B$9</definedName>
    <definedName name="RCS">'FAN9673 Design Tool'!$B$146</definedName>
    <definedName name="RFBA">'FAN9673 Design Tool'!$B$75</definedName>
    <definedName name="RFBB">'FAN9673 Design Tool'!$B$77</definedName>
    <definedName name="RFBBO">'FAN9673 Design Tool'!$B$77</definedName>
    <definedName name="RIC">'FAN9673 Design Tool'!$B$150</definedName>
    <definedName name="RIC.">'FAN9673 Design Tool'!$B$150</definedName>
    <definedName name="RLOAD">'FAN9673 Design Tool'!$B$140</definedName>
    <definedName name="Vac.max">'FAN9673 Design Tool'!$B$27</definedName>
    <definedName name="Vbi">'FAN9673 Design Tool'!$B$42</definedName>
    <definedName name="VBO">'FAN9673 Design Tool'!$B$43</definedName>
    <definedName name="VEAD">'FAN9673 Design Tool'!$B$169</definedName>
    <definedName name="VEAH">'FAN9673 Design Tool'!$B$167</definedName>
    <definedName name="VIN">'FAN9673 Design Tool'!$B$142</definedName>
    <definedName name="Vin.pk">'FAN9673 Design Tool'!$B$28</definedName>
    <definedName name="Vout">'FAN9673 Design Tool'!$B$14</definedName>
    <definedName name="VPFC">'FAN9673 Design Tool'!$B$143</definedName>
    <definedName name="VRAMP">'FAN9673 Design Tool'!$B$147</definedName>
    <definedName name="VVEAMAX">'FAN9673 Design Tool'!$B$88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4" i="1" l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189" i="1"/>
  <c r="B183" i="1"/>
  <c r="B28" i="1"/>
  <c r="B29" i="1" s="1"/>
  <c r="B15" i="1"/>
  <c r="B12" i="1"/>
  <c r="B16" i="1" s="1"/>
  <c r="B13" i="1" l="1"/>
  <c r="B114" i="1"/>
  <c r="I117" i="1" l="1"/>
  <c r="B107" i="1"/>
  <c r="B102" i="1"/>
  <c r="B82" i="1"/>
  <c r="B65" i="1"/>
  <c r="B66" i="1" s="1"/>
  <c r="B44" i="1"/>
  <c r="B43" i="1" s="1"/>
  <c r="B49" i="1" s="1"/>
  <c r="I119" i="1" l="1"/>
  <c r="B47" i="1"/>
  <c r="B38" i="1"/>
  <c r="B31" i="1"/>
  <c r="B32" i="1" s="1"/>
  <c r="B89" i="1" s="1"/>
  <c r="B48" i="1" l="1"/>
  <c r="B146" i="1" l="1"/>
  <c r="B69" i="1" l="1"/>
  <c r="B80" i="1"/>
  <c r="B78" i="1"/>
  <c r="I115" i="1" s="1"/>
  <c r="B76" i="1"/>
  <c r="B143" i="1" l="1"/>
  <c r="B141" i="1"/>
  <c r="B139" i="1"/>
  <c r="B167" i="1"/>
  <c r="B169" i="1" s="1"/>
  <c r="B156" i="1"/>
  <c r="B155" i="1"/>
  <c r="B154" i="1"/>
  <c r="B150" i="1"/>
  <c r="B142" i="1"/>
  <c r="B152" i="1"/>
  <c r="B151" i="1"/>
  <c r="B149" i="1"/>
  <c r="B148" i="1"/>
  <c r="B147" i="1"/>
  <c r="B39" i="1"/>
  <c r="B108" i="1"/>
  <c r="B22" i="1"/>
  <c r="B55" i="1" l="1"/>
  <c r="B94" i="1" s="1"/>
  <c r="B96" i="1" s="1"/>
  <c r="B115" i="1"/>
  <c r="B116" i="1" s="1"/>
  <c r="B120" i="1" s="1"/>
  <c r="B164" i="1"/>
  <c r="M189" i="1" s="1"/>
  <c r="B166" i="1"/>
  <c r="F202" i="1" s="1"/>
  <c r="B162" i="1"/>
  <c r="I189" i="1" s="1"/>
  <c r="J189" i="1" s="1"/>
  <c r="B118" i="1"/>
  <c r="B158" i="1"/>
  <c r="N163" i="1" s="1"/>
  <c r="O163" i="1" s="1"/>
  <c r="B163" i="1"/>
  <c r="B160" i="1"/>
  <c r="R164" i="1" s="1"/>
  <c r="S164" i="1" s="1"/>
  <c r="B159" i="1"/>
  <c r="B145" i="1"/>
  <c r="D156" i="1"/>
  <c r="B140" i="1"/>
  <c r="B144" i="1"/>
  <c r="B56" i="1" l="1"/>
  <c r="B57" i="1"/>
  <c r="I199" i="1"/>
  <c r="J199" i="1" s="1"/>
  <c r="M191" i="1"/>
  <c r="N191" i="1" s="1"/>
  <c r="M193" i="1"/>
  <c r="N193" i="1" s="1"/>
  <c r="M199" i="1"/>
  <c r="N199" i="1" s="1"/>
  <c r="M194" i="1"/>
  <c r="N194" i="1" s="1"/>
  <c r="M201" i="1"/>
  <c r="N201" i="1" s="1"/>
  <c r="M203" i="1"/>
  <c r="N203" i="1" s="1"/>
  <c r="M202" i="1"/>
  <c r="N202" i="1" s="1"/>
  <c r="M195" i="1"/>
  <c r="N195" i="1" s="1"/>
  <c r="M198" i="1"/>
  <c r="N198" i="1" s="1"/>
  <c r="M192" i="1"/>
  <c r="N192" i="1" s="1"/>
  <c r="M197" i="1"/>
  <c r="N197" i="1" s="1"/>
  <c r="M200" i="1"/>
  <c r="N200" i="1" s="1"/>
  <c r="M190" i="1"/>
  <c r="N190" i="1" s="1"/>
  <c r="M196" i="1"/>
  <c r="N196" i="1" s="1"/>
  <c r="I192" i="1"/>
  <c r="J192" i="1" s="1"/>
  <c r="I200" i="1"/>
  <c r="J200" i="1" s="1"/>
  <c r="I195" i="1"/>
  <c r="J195" i="1" s="1"/>
  <c r="I190" i="1"/>
  <c r="J190" i="1" s="1"/>
  <c r="I202" i="1"/>
  <c r="J202" i="1" s="1"/>
  <c r="I197" i="1"/>
  <c r="J197" i="1" s="1"/>
  <c r="I193" i="1"/>
  <c r="J193" i="1" s="1"/>
  <c r="I203" i="1"/>
  <c r="J203" i="1" s="1"/>
  <c r="I198" i="1"/>
  <c r="J198" i="1" s="1"/>
  <c r="N180" i="1"/>
  <c r="O180" i="1" s="1"/>
  <c r="N184" i="1"/>
  <c r="O184" i="1" s="1"/>
  <c r="N166" i="1"/>
  <c r="O166" i="1" s="1"/>
  <c r="N176" i="1"/>
  <c r="O176" i="1" s="1"/>
  <c r="N172" i="1"/>
  <c r="O172" i="1" s="1"/>
  <c r="N168" i="1"/>
  <c r="O168" i="1" s="1"/>
  <c r="I196" i="1"/>
  <c r="J196" i="1" s="1"/>
  <c r="I194" i="1"/>
  <c r="J194" i="1" s="1"/>
  <c r="I201" i="1"/>
  <c r="J201" i="1" s="1"/>
  <c r="R180" i="1"/>
  <c r="S180" i="1" s="1"/>
  <c r="I191" i="1"/>
  <c r="J191" i="1" s="1"/>
  <c r="R184" i="1"/>
  <c r="S184" i="1" s="1"/>
  <c r="R176" i="1"/>
  <c r="S176" i="1" s="1"/>
  <c r="R172" i="1"/>
  <c r="S172" i="1" s="1"/>
  <c r="N182" i="1"/>
  <c r="O182" i="1" s="1"/>
  <c r="N178" i="1"/>
  <c r="O178" i="1" s="1"/>
  <c r="N174" i="1"/>
  <c r="O174" i="1" s="1"/>
  <c r="N170" i="1"/>
  <c r="O170" i="1" s="1"/>
  <c r="N165" i="1"/>
  <c r="O165" i="1" s="1"/>
  <c r="N185" i="1"/>
  <c r="O185" i="1" s="1"/>
  <c r="N183" i="1"/>
  <c r="O183" i="1" s="1"/>
  <c r="N181" i="1"/>
  <c r="O181" i="1" s="1"/>
  <c r="N179" i="1"/>
  <c r="O179" i="1" s="1"/>
  <c r="N177" i="1"/>
  <c r="O177" i="1" s="1"/>
  <c r="N175" i="1"/>
  <c r="O175" i="1" s="1"/>
  <c r="N173" i="1"/>
  <c r="O173" i="1" s="1"/>
  <c r="N171" i="1"/>
  <c r="O171" i="1" s="1"/>
  <c r="N169" i="1"/>
  <c r="O169" i="1" s="1"/>
  <c r="N167" i="1"/>
  <c r="O167" i="1" s="1"/>
  <c r="N164" i="1"/>
  <c r="O164" i="1" s="1"/>
  <c r="R168" i="1"/>
  <c r="S168" i="1" s="1"/>
  <c r="R166" i="1"/>
  <c r="S166" i="1" s="1"/>
  <c r="R182" i="1"/>
  <c r="S182" i="1" s="1"/>
  <c r="R178" i="1"/>
  <c r="S178" i="1" s="1"/>
  <c r="R174" i="1"/>
  <c r="S174" i="1" s="1"/>
  <c r="R170" i="1"/>
  <c r="S170" i="1" s="1"/>
  <c r="R165" i="1"/>
  <c r="S165" i="1" s="1"/>
  <c r="R185" i="1"/>
  <c r="S185" i="1" s="1"/>
  <c r="R183" i="1"/>
  <c r="S183" i="1" s="1"/>
  <c r="R181" i="1"/>
  <c r="S181" i="1" s="1"/>
  <c r="R179" i="1"/>
  <c r="S179" i="1" s="1"/>
  <c r="R177" i="1"/>
  <c r="S177" i="1" s="1"/>
  <c r="R175" i="1"/>
  <c r="S175" i="1" s="1"/>
  <c r="R173" i="1"/>
  <c r="S173" i="1" s="1"/>
  <c r="R171" i="1"/>
  <c r="S171" i="1" s="1"/>
  <c r="R169" i="1"/>
  <c r="S169" i="1" s="1"/>
  <c r="R167" i="1"/>
  <c r="S167" i="1" s="1"/>
  <c r="K203" i="1"/>
  <c r="L203" i="1" s="1"/>
  <c r="K200" i="1"/>
  <c r="L200" i="1" s="1"/>
  <c r="K198" i="1"/>
  <c r="L198" i="1" s="1"/>
  <c r="K196" i="1"/>
  <c r="L196" i="1" s="1"/>
  <c r="K194" i="1"/>
  <c r="L194" i="1" s="1"/>
  <c r="K191" i="1"/>
  <c r="L191" i="1" s="1"/>
  <c r="K202" i="1"/>
  <c r="L202" i="1" s="1"/>
  <c r="K199" i="1"/>
  <c r="L199" i="1" s="1"/>
  <c r="K197" i="1"/>
  <c r="L197" i="1" s="1"/>
  <c r="K195" i="1"/>
  <c r="L195" i="1" s="1"/>
  <c r="K193" i="1"/>
  <c r="L193" i="1" s="1"/>
  <c r="K190" i="1"/>
  <c r="L190" i="1" s="1"/>
  <c r="G202" i="1"/>
  <c r="H202" i="1"/>
  <c r="K189" i="1"/>
  <c r="L189" i="1" s="1"/>
  <c r="K201" i="1"/>
  <c r="L201" i="1" s="1"/>
  <c r="K192" i="1"/>
  <c r="L192" i="1" s="1"/>
  <c r="F201" i="1"/>
  <c r="G201" i="1" s="1"/>
  <c r="F192" i="1"/>
  <c r="R163" i="1"/>
  <c r="S163" i="1" s="1"/>
  <c r="N189" i="1"/>
  <c r="F189" i="1"/>
  <c r="G189" i="1" s="1"/>
  <c r="F193" i="1"/>
  <c r="F197" i="1"/>
  <c r="F190" i="1"/>
  <c r="F194" i="1"/>
  <c r="F198" i="1"/>
  <c r="A193" i="1"/>
  <c r="A192" i="1"/>
  <c r="F191" i="1"/>
  <c r="F195" i="1"/>
  <c r="F199" i="1"/>
  <c r="F203" i="1"/>
  <c r="F196" i="1"/>
  <c r="F200" i="1"/>
  <c r="P178" i="1"/>
  <c r="Q178" i="1" s="1"/>
  <c r="P177" i="1"/>
  <c r="Q177" i="1" s="1"/>
  <c r="P176" i="1"/>
  <c r="Q176" i="1" s="1"/>
  <c r="P175" i="1"/>
  <c r="Q175" i="1" s="1"/>
  <c r="P174" i="1"/>
  <c r="Q174" i="1" s="1"/>
  <c r="P173" i="1"/>
  <c r="Q173" i="1" s="1"/>
  <c r="P172" i="1"/>
  <c r="Q172" i="1" s="1"/>
  <c r="P171" i="1"/>
  <c r="Q171" i="1" s="1"/>
  <c r="P170" i="1"/>
  <c r="Q170" i="1" s="1"/>
  <c r="P169" i="1"/>
  <c r="Q169" i="1" s="1"/>
  <c r="P168" i="1"/>
  <c r="Q168" i="1" s="1"/>
  <c r="P167" i="1"/>
  <c r="Q167" i="1" s="1"/>
  <c r="P164" i="1"/>
  <c r="Q164" i="1" s="1"/>
  <c r="P165" i="1"/>
  <c r="Q165" i="1" s="1"/>
  <c r="P163" i="1"/>
  <c r="Q163" i="1" s="1"/>
  <c r="P185" i="1"/>
  <c r="Q185" i="1" s="1"/>
  <c r="P184" i="1"/>
  <c r="Q184" i="1" s="1"/>
  <c r="P183" i="1"/>
  <c r="Q183" i="1" s="1"/>
  <c r="P182" i="1"/>
  <c r="Q182" i="1" s="1"/>
  <c r="P181" i="1"/>
  <c r="Q181" i="1" s="1"/>
  <c r="P180" i="1"/>
  <c r="Q180" i="1" s="1"/>
  <c r="P179" i="1"/>
  <c r="Q179" i="1" s="1"/>
  <c r="P166" i="1"/>
  <c r="Q166" i="1" s="1"/>
  <c r="I164" i="1"/>
  <c r="G165" i="1"/>
  <c r="H165" i="1" s="1"/>
  <c r="I163" i="1"/>
  <c r="G163" i="1"/>
  <c r="H163" i="1" s="1"/>
  <c r="G164" i="1"/>
  <c r="H164" i="1" s="1"/>
  <c r="I165" i="1"/>
  <c r="E164" i="1"/>
  <c r="F164" i="1" s="1"/>
  <c r="E163" i="1"/>
  <c r="F163" i="1" s="1"/>
  <c r="E165" i="1"/>
  <c r="F165" i="1" s="1"/>
  <c r="G185" i="1"/>
  <c r="H185" i="1" s="1"/>
  <c r="I184" i="1"/>
  <c r="G183" i="1"/>
  <c r="H183" i="1" s="1"/>
  <c r="I182" i="1"/>
  <c r="G181" i="1"/>
  <c r="H181" i="1" s="1"/>
  <c r="I180" i="1"/>
  <c r="G180" i="1"/>
  <c r="H180" i="1" s="1"/>
  <c r="G179" i="1"/>
  <c r="H179" i="1" s="1"/>
  <c r="I178" i="1"/>
  <c r="G177" i="1"/>
  <c r="H177" i="1" s="1"/>
  <c r="I176" i="1"/>
  <c r="I174" i="1"/>
  <c r="G173" i="1"/>
  <c r="H173" i="1" s="1"/>
  <c r="I172" i="1"/>
  <c r="G171" i="1"/>
  <c r="H171" i="1" s="1"/>
  <c r="I170" i="1"/>
  <c r="G169" i="1"/>
  <c r="H169" i="1" s="1"/>
  <c r="I168" i="1"/>
  <c r="G167" i="1"/>
  <c r="H167" i="1" s="1"/>
  <c r="I185" i="1"/>
  <c r="G184" i="1"/>
  <c r="H184" i="1" s="1"/>
  <c r="I183" i="1"/>
  <c r="G182" i="1"/>
  <c r="H182" i="1" s="1"/>
  <c r="I181" i="1"/>
  <c r="I179" i="1"/>
  <c r="G178" i="1"/>
  <c r="H178" i="1" s="1"/>
  <c r="I177" i="1"/>
  <c r="G176" i="1"/>
  <c r="H176" i="1" s="1"/>
  <c r="I175" i="1"/>
  <c r="G175" i="1"/>
  <c r="H175" i="1" s="1"/>
  <c r="G174" i="1"/>
  <c r="H174" i="1" s="1"/>
  <c r="I173" i="1"/>
  <c r="G172" i="1"/>
  <c r="H172" i="1" s="1"/>
  <c r="I171" i="1"/>
  <c r="G170" i="1"/>
  <c r="H170" i="1" s="1"/>
  <c r="I169" i="1"/>
  <c r="G168" i="1"/>
  <c r="H168" i="1" s="1"/>
  <c r="I167" i="1"/>
  <c r="E184" i="1"/>
  <c r="F184" i="1" s="1"/>
  <c r="E182" i="1"/>
  <c r="F182" i="1" s="1"/>
  <c r="E180" i="1"/>
  <c r="F180" i="1" s="1"/>
  <c r="E178" i="1"/>
  <c r="F178" i="1" s="1"/>
  <c r="E176" i="1"/>
  <c r="F176" i="1" s="1"/>
  <c r="E174" i="1"/>
  <c r="F174" i="1" s="1"/>
  <c r="E172" i="1"/>
  <c r="F172" i="1" s="1"/>
  <c r="E170" i="1"/>
  <c r="F170" i="1" s="1"/>
  <c r="E168" i="1"/>
  <c r="F168" i="1" s="1"/>
  <c r="E185" i="1"/>
  <c r="F185" i="1" s="1"/>
  <c r="E183" i="1"/>
  <c r="F183" i="1" s="1"/>
  <c r="E181" i="1"/>
  <c r="F181" i="1" s="1"/>
  <c r="E179" i="1"/>
  <c r="F179" i="1" s="1"/>
  <c r="E177" i="1"/>
  <c r="F177" i="1" s="1"/>
  <c r="E175" i="1"/>
  <c r="F175" i="1" s="1"/>
  <c r="E173" i="1"/>
  <c r="F173" i="1" s="1"/>
  <c r="E171" i="1"/>
  <c r="F171" i="1" s="1"/>
  <c r="E169" i="1"/>
  <c r="F169" i="1" s="1"/>
  <c r="E167" i="1"/>
  <c r="F167" i="1" s="1"/>
  <c r="E166" i="1"/>
  <c r="F166" i="1" s="1"/>
  <c r="I166" i="1"/>
  <c r="G166" i="1"/>
  <c r="H166" i="1" s="1"/>
  <c r="D155" i="1"/>
  <c r="D158" i="1" s="1"/>
  <c r="B91" i="1" l="1"/>
  <c r="B93" i="1" s="1"/>
  <c r="P189" i="1"/>
  <c r="O193" i="1"/>
  <c r="R193" i="1" s="1"/>
  <c r="P193" i="1"/>
  <c r="O197" i="1"/>
  <c r="Q197" i="1" s="1"/>
  <c r="P197" i="1"/>
  <c r="O202" i="1"/>
  <c r="P202" i="1"/>
  <c r="O194" i="1"/>
  <c r="Q194" i="1" s="1"/>
  <c r="P194" i="1"/>
  <c r="O198" i="1"/>
  <c r="S198" i="1" s="1"/>
  <c r="P198" i="1"/>
  <c r="O203" i="1"/>
  <c r="S203" i="1" s="1"/>
  <c r="P203" i="1"/>
  <c r="H196" i="1"/>
  <c r="G196" i="1"/>
  <c r="G199" i="1"/>
  <c r="H199" i="1"/>
  <c r="H191" i="1"/>
  <c r="G191" i="1"/>
  <c r="H194" i="1"/>
  <c r="G194" i="1"/>
  <c r="G197" i="1"/>
  <c r="H197" i="1"/>
  <c r="H200" i="1"/>
  <c r="G200" i="1"/>
  <c r="H203" i="1"/>
  <c r="G203" i="1"/>
  <c r="G195" i="1"/>
  <c r="H195" i="1"/>
  <c r="H198" i="1"/>
  <c r="G198" i="1"/>
  <c r="G190" i="1"/>
  <c r="H190" i="1"/>
  <c r="G193" i="1"/>
  <c r="H193" i="1"/>
  <c r="H192" i="1"/>
  <c r="G192" i="1"/>
  <c r="O190" i="1"/>
  <c r="R190" i="1" s="1"/>
  <c r="P190" i="1"/>
  <c r="O195" i="1"/>
  <c r="R195" i="1" s="1"/>
  <c r="P195" i="1"/>
  <c r="O199" i="1"/>
  <c r="Q199" i="1" s="1"/>
  <c r="P199" i="1"/>
  <c r="O191" i="1"/>
  <c r="Q191" i="1" s="1"/>
  <c r="P191" i="1"/>
  <c r="O196" i="1"/>
  <c r="Q196" i="1" s="1"/>
  <c r="P196" i="1"/>
  <c r="O200" i="1"/>
  <c r="S200" i="1" s="1"/>
  <c r="P200" i="1"/>
  <c r="J170" i="1"/>
  <c r="K170" i="1" s="1"/>
  <c r="O192" i="1"/>
  <c r="S192" i="1" s="1"/>
  <c r="P192" i="1"/>
  <c r="J174" i="1"/>
  <c r="K174" i="1" s="1"/>
  <c r="J182" i="1"/>
  <c r="K182" i="1" s="1"/>
  <c r="O189" i="1"/>
  <c r="Q189" i="1" s="1"/>
  <c r="H189" i="1"/>
  <c r="H201" i="1"/>
  <c r="O201" i="1"/>
  <c r="R201" i="1" s="1"/>
  <c r="P201" i="1"/>
  <c r="U166" i="1"/>
  <c r="T166" i="1"/>
  <c r="V166" i="1" s="1"/>
  <c r="U180" i="1"/>
  <c r="T180" i="1"/>
  <c r="V180" i="1" s="1"/>
  <c r="U182" i="1"/>
  <c r="T182" i="1"/>
  <c r="V182" i="1" s="1"/>
  <c r="U184" i="1"/>
  <c r="T184" i="1"/>
  <c r="V184" i="1" s="1"/>
  <c r="T163" i="1"/>
  <c r="V163" i="1" s="1"/>
  <c r="U163" i="1"/>
  <c r="U164" i="1"/>
  <c r="T164" i="1"/>
  <c r="V164" i="1" s="1"/>
  <c r="U168" i="1"/>
  <c r="T168" i="1"/>
  <c r="V168" i="1" s="1"/>
  <c r="U170" i="1"/>
  <c r="T170" i="1"/>
  <c r="V170" i="1" s="1"/>
  <c r="U172" i="1"/>
  <c r="T172" i="1"/>
  <c r="V172" i="1" s="1"/>
  <c r="U174" i="1"/>
  <c r="T174" i="1"/>
  <c r="V174" i="1" s="1"/>
  <c r="U176" i="1"/>
  <c r="T176" i="1"/>
  <c r="V176" i="1" s="1"/>
  <c r="U178" i="1"/>
  <c r="T178" i="1"/>
  <c r="V178" i="1" s="1"/>
  <c r="U179" i="1"/>
  <c r="T179" i="1"/>
  <c r="V179" i="1" s="1"/>
  <c r="U181" i="1"/>
  <c r="T181" i="1"/>
  <c r="V181" i="1" s="1"/>
  <c r="U183" i="1"/>
  <c r="T183" i="1"/>
  <c r="V183" i="1" s="1"/>
  <c r="U185" i="1"/>
  <c r="T185" i="1"/>
  <c r="V185" i="1" s="1"/>
  <c r="U165" i="1"/>
  <c r="T165" i="1"/>
  <c r="V165" i="1" s="1"/>
  <c r="U167" i="1"/>
  <c r="T167" i="1"/>
  <c r="V167" i="1" s="1"/>
  <c r="U169" i="1"/>
  <c r="T169" i="1"/>
  <c r="V169" i="1" s="1"/>
  <c r="U171" i="1"/>
  <c r="T171" i="1"/>
  <c r="V171" i="1" s="1"/>
  <c r="U173" i="1"/>
  <c r="T173" i="1"/>
  <c r="V173" i="1" s="1"/>
  <c r="U175" i="1"/>
  <c r="T175" i="1"/>
  <c r="V175" i="1" s="1"/>
  <c r="U177" i="1"/>
  <c r="T177" i="1"/>
  <c r="V177" i="1" s="1"/>
  <c r="J163" i="1"/>
  <c r="K163" i="1" s="1"/>
  <c r="J164" i="1"/>
  <c r="K164" i="1" s="1"/>
  <c r="J165" i="1"/>
  <c r="K165" i="1" s="1"/>
  <c r="J168" i="1"/>
  <c r="K168" i="1" s="1"/>
  <c r="J184" i="1"/>
  <c r="K184" i="1" s="1"/>
  <c r="J167" i="1"/>
  <c r="K167" i="1" s="1"/>
  <c r="J169" i="1"/>
  <c r="K169" i="1" s="1"/>
  <c r="J171" i="1"/>
  <c r="K171" i="1" s="1"/>
  <c r="J173" i="1"/>
  <c r="K173" i="1" s="1"/>
  <c r="J180" i="1"/>
  <c r="K180" i="1" s="1"/>
  <c r="J181" i="1"/>
  <c r="K181" i="1" s="1"/>
  <c r="J183" i="1"/>
  <c r="K183" i="1" s="1"/>
  <c r="J185" i="1"/>
  <c r="K185" i="1" s="1"/>
  <c r="J172" i="1"/>
  <c r="K172" i="1" s="1"/>
  <c r="J175" i="1"/>
  <c r="K175" i="1" s="1"/>
  <c r="J176" i="1"/>
  <c r="K176" i="1" s="1"/>
  <c r="J178" i="1"/>
  <c r="K178" i="1" s="1"/>
  <c r="J177" i="1"/>
  <c r="K177" i="1" s="1"/>
  <c r="J179" i="1"/>
  <c r="K179" i="1" s="1"/>
  <c r="J166" i="1"/>
  <c r="R197" i="1" l="1"/>
  <c r="S194" i="1"/>
  <c r="R199" i="1"/>
  <c r="R191" i="1"/>
  <c r="S196" i="1"/>
  <c r="S191" i="1"/>
  <c r="R189" i="1"/>
  <c r="R196" i="1"/>
  <c r="R194" i="1"/>
  <c r="S199" i="1"/>
  <c r="R200" i="1"/>
  <c r="Q200" i="1"/>
  <c r="Q195" i="1"/>
  <c r="S195" i="1"/>
  <c r="Q190" i="1"/>
  <c r="S190" i="1"/>
  <c r="R203" i="1"/>
  <c r="Q203" i="1"/>
  <c r="Q198" i="1"/>
  <c r="R198" i="1"/>
  <c r="R202" i="1"/>
  <c r="Q202" i="1"/>
  <c r="S202" i="1"/>
  <c r="Q193" i="1"/>
  <c r="S193" i="1"/>
  <c r="S197" i="1"/>
  <c r="Q192" i="1"/>
  <c r="R192" i="1"/>
  <c r="S201" i="1"/>
  <c r="Q201" i="1"/>
  <c r="S189" i="1"/>
  <c r="L177" i="1"/>
  <c r="W177" i="1"/>
  <c r="X177" i="1"/>
  <c r="M177" i="1"/>
  <c r="L176" i="1"/>
  <c r="X176" i="1"/>
  <c r="M176" i="1"/>
  <c r="W176" i="1"/>
  <c r="L172" i="1"/>
  <c r="X172" i="1"/>
  <c r="M172" i="1"/>
  <c r="W172" i="1"/>
  <c r="L185" i="1"/>
  <c r="W185" i="1"/>
  <c r="X185" i="1"/>
  <c r="M185" i="1"/>
  <c r="L181" i="1"/>
  <c r="W181" i="1"/>
  <c r="X181" i="1"/>
  <c r="M181" i="1"/>
  <c r="L173" i="1"/>
  <c r="W173" i="1"/>
  <c r="X173" i="1"/>
  <c r="M173" i="1"/>
  <c r="L169" i="1"/>
  <c r="W169" i="1"/>
  <c r="X169" i="1"/>
  <c r="M169" i="1"/>
  <c r="L184" i="1"/>
  <c r="X184" i="1"/>
  <c r="M184" i="1"/>
  <c r="W184" i="1"/>
  <c r="L174" i="1"/>
  <c r="X174" i="1"/>
  <c r="M174" i="1"/>
  <c r="W174" i="1"/>
  <c r="L165" i="1"/>
  <c r="W165" i="1"/>
  <c r="X165" i="1"/>
  <c r="M165" i="1"/>
  <c r="W163" i="1"/>
  <c r="M163" i="1"/>
  <c r="X163" i="1"/>
  <c r="L179" i="1"/>
  <c r="W179" i="1"/>
  <c r="X179" i="1"/>
  <c r="M179" i="1"/>
  <c r="L178" i="1"/>
  <c r="X178" i="1"/>
  <c r="M178" i="1"/>
  <c r="W178" i="1"/>
  <c r="L175" i="1"/>
  <c r="W175" i="1"/>
  <c r="X175" i="1"/>
  <c r="M175" i="1"/>
  <c r="L170" i="1"/>
  <c r="X170" i="1"/>
  <c r="M170" i="1"/>
  <c r="W170" i="1"/>
  <c r="L183" i="1"/>
  <c r="W183" i="1"/>
  <c r="X183" i="1"/>
  <c r="M183" i="1"/>
  <c r="L180" i="1"/>
  <c r="X180" i="1"/>
  <c r="M180" i="1"/>
  <c r="W180" i="1"/>
  <c r="L171" i="1"/>
  <c r="W171" i="1"/>
  <c r="X171" i="1"/>
  <c r="M171" i="1"/>
  <c r="L167" i="1"/>
  <c r="W167" i="1"/>
  <c r="X167" i="1"/>
  <c r="M167" i="1"/>
  <c r="L182" i="1"/>
  <c r="X182" i="1"/>
  <c r="M182" i="1"/>
  <c r="W182" i="1"/>
  <c r="L168" i="1"/>
  <c r="X168" i="1"/>
  <c r="M168" i="1"/>
  <c r="W168" i="1"/>
  <c r="L164" i="1"/>
  <c r="X164" i="1"/>
  <c r="M164" i="1"/>
  <c r="W164" i="1"/>
  <c r="L163" i="1"/>
  <c r="K166" i="1"/>
  <c r="L166" i="1" l="1"/>
  <c r="X166" i="1"/>
  <c r="M166" i="1"/>
  <c r="W166" i="1"/>
</calcChain>
</file>

<file path=xl/sharedStrings.xml><?xml version="1.0" encoding="utf-8"?>
<sst xmlns="http://schemas.openxmlformats.org/spreadsheetml/2006/main" count="252" uniqueCount="187">
  <si>
    <t>From Power Supply Specification</t>
    <phoneticPr fontId="2" type="noConversion"/>
  </si>
  <si>
    <t>W</t>
    <phoneticPr fontId="1" type="noConversion"/>
  </si>
  <si>
    <t>%</t>
    <phoneticPr fontId="1" type="noConversion"/>
  </si>
  <si>
    <t>Input Power / Channel</t>
    <phoneticPr fontId="1" type="noConversion"/>
  </si>
  <si>
    <t>V</t>
    <phoneticPr fontId="1" type="noConversion"/>
  </si>
  <si>
    <t>A</t>
    <phoneticPr fontId="1" type="noConversion"/>
  </si>
  <si>
    <t>kHz</t>
    <phoneticPr fontId="1" type="noConversion"/>
  </si>
  <si>
    <t>Output Box</t>
    <phoneticPr fontId="2" type="noConversion"/>
  </si>
  <si>
    <t>Input Box</t>
    <phoneticPr fontId="2" type="noConversion"/>
  </si>
  <si>
    <t>MΩ</t>
    <phoneticPr fontId="1" type="noConversion"/>
  </si>
  <si>
    <t>VAC</t>
    <phoneticPr fontId="1" type="noConversion"/>
  </si>
  <si>
    <t>kΩ</t>
    <phoneticPr fontId="1" type="noConversion"/>
  </si>
  <si>
    <t>VAC</t>
    <phoneticPr fontId="1" type="noConversion"/>
  </si>
  <si>
    <t>μH</t>
    <phoneticPr fontId="1" type="noConversion"/>
  </si>
  <si>
    <t>μF</t>
    <phoneticPr fontId="1" type="noConversion"/>
  </si>
  <si>
    <t>Hz</t>
    <phoneticPr fontId="1" type="noConversion"/>
  </si>
  <si>
    <t>mΩ</t>
    <phoneticPr fontId="1" type="noConversion"/>
  </si>
  <si>
    <t>fIC</t>
    <phoneticPr fontId="1" type="noConversion"/>
  </si>
  <si>
    <t>RIC</t>
    <phoneticPr fontId="1" type="noConversion"/>
  </si>
  <si>
    <t>nF</t>
    <phoneticPr fontId="1" type="noConversion"/>
  </si>
  <si>
    <t>nF</t>
    <phoneticPr fontId="1" type="noConversion"/>
  </si>
  <si>
    <t>CIC1</t>
    <phoneticPr fontId="1" type="noConversion"/>
  </si>
  <si>
    <t>CIC2</t>
    <phoneticPr fontId="1" type="noConversion"/>
  </si>
  <si>
    <t>RVC</t>
    <phoneticPr fontId="1" type="noConversion"/>
  </si>
  <si>
    <t>fVC</t>
    <phoneticPr fontId="1" type="noConversion"/>
  </si>
  <si>
    <t>CVC1</t>
    <phoneticPr fontId="1" type="noConversion"/>
  </si>
  <si>
    <t>CVC2</t>
    <phoneticPr fontId="1" type="noConversion"/>
  </si>
  <si>
    <t>f2</t>
    <phoneticPr fontId="1" type="noConversion"/>
  </si>
  <si>
    <t>f4</t>
    <phoneticPr fontId="1" type="noConversion"/>
  </si>
  <si>
    <t>f5</t>
    <phoneticPr fontId="1" type="noConversion"/>
  </si>
  <si>
    <t>wc1</t>
    <phoneticPr fontId="1" type="noConversion"/>
  </si>
  <si>
    <t>wc3</t>
    <phoneticPr fontId="1" type="noConversion"/>
  </si>
  <si>
    <t>fc3</t>
    <phoneticPr fontId="1" type="noConversion"/>
  </si>
  <si>
    <t>wclo</t>
    <phoneticPr fontId="1" type="noConversion"/>
  </si>
  <si>
    <t>phg</t>
    <phoneticPr fontId="1" type="noConversion"/>
  </si>
  <si>
    <t>phcg</t>
    <phoneticPr fontId="1" type="noConversion"/>
  </si>
  <si>
    <t>Step1: Define System Specifications</t>
    <phoneticPr fontId="2" type="noConversion"/>
  </si>
  <si>
    <r>
      <t>Output Voltage (V</t>
    </r>
    <r>
      <rPr>
        <vertAlign val="subscript"/>
        <sz val="11"/>
        <color theme="1"/>
        <rFont val="Arial"/>
        <family val="2"/>
      </rPr>
      <t>PFC</t>
    </r>
    <r>
      <rPr>
        <sz val="11"/>
        <color theme="1"/>
        <rFont val="Arial"/>
        <family val="2"/>
      </rPr>
      <t>)</t>
    </r>
    <phoneticPr fontId="1" type="noConversion"/>
  </si>
  <si>
    <r>
      <t>Output Current / Channel (I</t>
    </r>
    <r>
      <rPr>
        <vertAlign val="subscript"/>
        <sz val="11"/>
        <color theme="1"/>
        <rFont val="Arial"/>
        <family val="2"/>
      </rPr>
      <t>OUT</t>
    </r>
    <r>
      <rPr>
        <sz val="11"/>
        <color theme="1"/>
        <rFont val="Arial"/>
        <family val="2"/>
      </rPr>
      <t>)</t>
    </r>
    <phoneticPr fontId="1" type="noConversion"/>
  </si>
  <si>
    <r>
      <t>Frequency (f</t>
    </r>
    <r>
      <rPr>
        <vertAlign val="subscript"/>
        <sz val="11"/>
        <color theme="1"/>
        <rFont val="Arial"/>
        <family val="2"/>
      </rPr>
      <t>SW</t>
    </r>
    <r>
      <rPr>
        <sz val="11"/>
        <color theme="1"/>
        <rFont val="Arial"/>
        <family val="2"/>
      </rPr>
      <t>)</t>
    </r>
    <phoneticPr fontId="1" type="noConversion"/>
  </si>
  <si>
    <r>
      <t>Resistor of VIR Pin (R</t>
    </r>
    <r>
      <rPr>
        <vertAlign val="subscript"/>
        <sz val="11"/>
        <color theme="1"/>
        <rFont val="Arial"/>
        <family val="2"/>
      </rPr>
      <t>VIR</t>
    </r>
    <r>
      <rPr>
        <sz val="11"/>
        <color theme="1"/>
        <rFont val="Arial"/>
        <family val="2"/>
      </rPr>
      <t>)</t>
    </r>
    <phoneticPr fontId="1" type="noConversion"/>
  </si>
  <si>
    <r>
      <t>Resistor of IAC Pin (R</t>
    </r>
    <r>
      <rPr>
        <vertAlign val="subscript"/>
        <sz val="11"/>
        <color theme="1"/>
        <rFont val="Arial"/>
        <family val="2"/>
      </rPr>
      <t xml:space="preserve">IAC </t>
    </r>
    <r>
      <rPr>
        <sz val="11"/>
        <color theme="1"/>
        <rFont val="Arial"/>
        <family val="2"/>
      </rPr>
      <t>= R</t>
    </r>
    <r>
      <rPr>
        <vertAlign val="subscript"/>
        <sz val="11"/>
        <color theme="1"/>
        <rFont val="Arial"/>
        <family val="2"/>
      </rPr>
      <t>A1</t>
    </r>
    <r>
      <rPr>
        <sz val="11"/>
        <color theme="1"/>
        <rFont val="Arial"/>
        <family val="2"/>
      </rPr>
      <t>+R</t>
    </r>
    <r>
      <rPr>
        <vertAlign val="subscript"/>
        <sz val="11"/>
        <color theme="1"/>
        <rFont val="Arial"/>
        <family val="2"/>
      </rPr>
      <t>A2</t>
    </r>
    <r>
      <rPr>
        <sz val="11"/>
        <color theme="1"/>
        <rFont val="Arial"/>
        <family val="2"/>
      </rPr>
      <t>)</t>
    </r>
    <phoneticPr fontId="1" type="noConversion"/>
  </si>
  <si>
    <r>
      <t>Brown Out Voltage (V</t>
    </r>
    <r>
      <rPr>
        <vertAlign val="subscript"/>
        <sz val="11"/>
        <color theme="1"/>
        <rFont val="Arial"/>
        <family val="2"/>
      </rPr>
      <t>BO</t>
    </r>
    <r>
      <rPr>
        <sz val="11"/>
        <color theme="1"/>
        <rFont val="Arial"/>
        <family val="2"/>
      </rPr>
      <t>)</t>
    </r>
    <phoneticPr fontId="1" type="noConversion"/>
  </si>
  <si>
    <r>
      <t>Input Power (P</t>
    </r>
    <r>
      <rPr>
        <vertAlign val="subscript"/>
        <sz val="11"/>
        <color theme="1"/>
        <rFont val="Arial"/>
        <family val="2"/>
      </rPr>
      <t>IN</t>
    </r>
    <r>
      <rPr>
        <sz val="11"/>
        <color theme="1"/>
        <rFont val="Arial"/>
        <family val="2"/>
      </rPr>
      <t>)</t>
    </r>
    <phoneticPr fontId="1" type="noConversion"/>
  </si>
  <si>
    <r>
      <t>PFC Inductor (L</t>
    </r>
    <r>
      <rPr>
        <vertAlign val="subscript"/>
        <sz val="11"/>
        <color theme="1"/>
        <rFont val="Arial"/>
        <family val="2"/>
      </rPr>
      <t>PFC</t>
    </r>
    <r>
      <rPr>
        <sz val="11"/>
        <color theme="1"/>
        <rFont val="Arial"/>
        <family val="2"/>
      </rPr>
      <t>)</t>
    </r>
    <phoneticPr fontId="1" type="noConversion"/>
  </si>
  <si>
    <r>
      <t>Output Voltage Ripple (V</t>
    </r>
    <r>
      <rPr>
        <vertAlign val="subscript"/>
        <sz val="11"/>
        <color theme="1"/>
        <rFont val="Arial"/>
        <family val="2"/>
      </rPr>
      <t>PFC-RIPPLE</t>
    </r>
    <r>
      <rPr>
        <sz val="11"/>
        <color theme="1"/>
        <rFont val="Arial"/>
        <family val="2"/>
      </rPr>
      <t>)</t>
    </r>
    <phoneticPr fontId="1" type="noConversion"/>
  </si>
  <si>
    <r>
      <t>Output Capactor (C</t>
    </r>
    <r>
      <rPr>
        <vertAlign val="subscript"/>
        <sz val="11"/>
        <color theme="1"/>
        <rFont val="Arial"/>
        <family val="2"/>
      </rPr>
      <t>PFC</t>
    </r>
    <r>
      <rPr>
        <sz val="11"/>
        <color theme="1"/>
        <rFont val="Arial"/>
        <family val="2"/>
      </rPr>
      <t>)</t>
    </r>
    <phoneticPr fontId="1" type="noConversion"/>
  </si>
  <si>
    <r>
      <t>Hold-up Time (t</t>
    </r>
    <r>
      <rPr>
        <vertAlign val="subscript"/>
        <sz val="11"/>
        <color theme="1"/>
        <rFont val="Arial"/>
        <family val="2"/>
      </rPr>
      <t>HOLD</t>
    </r>
    <r>
      <rPr>
        <sz val="11"/>
        <color theme="1"/>
        <rFont val="Arial"/>
        <family val="2"/>
      </rPr>
      <t>)</t>
    </r>
    <phoneticPr fontId="1" type="noConversion"/>
  </si>
  <si>
    <r>
      <t>Feedback Resistor 1 (R</t>
    </r>
    <r>
      <rPr>
        <vertAlign val="subscript"/>
        <sz val="11"/>
        <color theme="1"/>
        <rFont val="Arial"/>
        <family val="2"/>
      </rPr>
      <t>FB1</t>
    </r>
    <r>
      <rPr>
        <sz val="11"/>
        <color theme="1"/>
        <rFont val="Arial"/>
        <family val="2"/>
      </rPr>
      <t>)</t>
    </r>
    <phoneticPr fontId="1" type="noConversion"/>
  </si>
  <si>
    <r>
      <t>Feedback Resistor 2 (R</t>
    </r>
    <r>
      <rPr>
        <vertAlign val="subscript"/>
        <sz val="11"/>
        <color theme="1"/>
        <rFont val="Arial"/>
        <family val="2"/>
      </rPr>
      <t>FB2</t>
    </r>
    <r>
      <rPr>
        <sz val="11"/>
        <color theme="1"/>
        <rFont val="Arial"/>
        <family val="2"/>
      </rPr>
      <t>)</t>
    </r>
    <phoneticPr fontId="1" type="noConversion"/>
  </si>
  <si>
    <r>
      <t>Min. Output Voltage during Hold-up Time (V</t>
    </r>
    <r>
      <rPr>
        <vertAlign val="subscript"/>
        <sz val="11"/>
        <color theme="1"/>
        <rFont val="Arial"/>
        <family val="2"/>
      </rPr>
      <t>PFC-MIN</t>
    </r>
    <r>
      <rPr>
        <sz val="11"/>
        <color theme="1"/>
        <rFont val="Arial"/>
        <family val="2"/>
      </rPr>
      <t>)</t>
    </r>
    <phoneticPr fontId="1" type="noConversion"/>
  </si>
  <si>
    <r>
      <t>Peak of  Inductor Ripple Current (I</t>
    </r>
    <r>
      <rPr>
        <vertAlign val="subscript"/>
        <sz val="11"/>
        <color theme="1"/>
        <rFont val="Arial"/>
        <family val="2"/>
      </rPr>
      <t>L-PK</t>
    </r>
    <r>
      <rPr>
        <sz val="11"/>
        <color theme="1"/>
        <rFont val="Arial"/>
        <family val="2"/>
      </rPr>
      <t>)</t>
    </r>
    <phoneticPr fontId="1" type="noConversion"/>
  </si>
  <si>
    <r>
      <t>Max. Over Power (P</t>
    </r>
    <r>
      <rPr>
        <vertAlign val="subscript"/>
        <sz val="11"/>
        <color theme="1"/>
        <rFont val="Arial"/>
        <family val="2"/>
      </rPr>
      <t>O-MAX</t>
    </r>
    <r>
      <rPr>
        <sz val="11"/>
        <color theme="1"/>
        <rFont val="Arial"/>
        <family val="2"/>
      </rPr>
      <t xml:space="preserve"> / P</t>
    </r>
    <r>
      <rPr>
        <vertAlign val="subscript"/>
        <sz val="11"/>
        <color theme="1"/>
        <rFont val="Arial"/>
        <family val="2"/>
      </rPr>
      <t>O-100%</t>
    </r>
    <r>
      <rPr>
        <sz val="11"/>
        <color theme="1"/>
        <rFont val="Arial"/>
        <family val="2"/>
      </rPr>
      <t>, K</t>
    </r>
    <r>
      <rPr>
        <vertAlign val="subscript"/>
        <sz val="11"/>
        <color theme="1"/>
        <rFont val="Arial"/>
        <family val="2"/>
      </rPr>
      <t>MAX</t>
    </r>
    <r>
      <rPr>
        <sz val="11"/>
        <color theme="1"/>
        <rFont val="Arial"/>
        <family val="2"/>
      </rPr>
      <t>)</t>
    </r>
    <phoneticPr fontId="1" type="noConversion"/>
  </si>
  <si>
    <r>
      <t>Current Sensing Shunt Resistor (R</t>
    </r>
    <r>
      <rPr>
        <vertAlign val="subscript"/>
        <sz val="11"/>
        <color theme="1"/>
        <rFont val="Arial"/>
        <family val="2"/>
      </rPr>
      <t>CS</t>
    </r>
    <r>
      <rPr>
        <sz val="11"/>
        <color theme="1"/>
        <rFont val="Arial"/>
        <family val="2"/>
      </rPr>
      <t>)</t>
    </r>
    <phoneticPr fontId="1" type="noConversion"/>
  </si>
  <si>
    <t>IC Internal Parameter</t>
    <phoneticPr fontId="1" type="noConversion"/>
  </si>
  <si>
    <r>
      <t>Brown In Voltage (V</t>
    </r>
    <r>
      <rPr>
        <vertAlign val="subscript"/>
        <sz val="11"/>
        <color theme="1"/>
        <rFont val="Arial"/>
        <family val="2"/>
      </rPr>
      <t>BI</t>
    </r>
    <r>
      <rPr>
        <sz val="11"/>
        <color theme="1"/>
        <rFont val="Arial"/>
        <family val="2"/>
      </rPr>
      <t>)</t>
    </r>
    <phoneticPr fontId="1" type="noConversion"/>
  </si>
  <si>
    <r>
      <t>Line Frequency (f</t>
    </r>
    <r>
      <rPr>
        <vertAlign val="subscript"/>
        <sz val="11"/>
        <color theme="1"/>
        <rFont val="Arial"/>
        <family val="2"/>
      </rPr>
      <t>LINE</t>
    </r>
    <r>
      <rPr>
        <sz val="11"/>
        <color theme="1"/>
        <rFont val="Arial"/>
        <family val="2"/>
      </rPr>
      <t>)</t>
    </r>
    <phoneticPr fontId="1" type="noConversion"/>
  </si>
  <si>
    <r>
      <t>Soft Start Time (T</t>
    </r>
    <r>
      <rPr>
        <vertAlign val="subscript"/>
        <sz val="11"/>
        <color theme="1"/>
        <rFont val="Arial"/>
        <family val="2"/>
      </rPr>
      <t>SS</t>
    </r>
    <r>
      <rPr>
        <sz val="11"/>
        <color theme="1"/>
        <rFont val="Arial"/>
        <family val="2"/>
      </rPr>
      <t>, V</t>
    </r>
    <r>
      <rPr>
        <vertAlign val="subscript"/>
        <sz val="11"/>
        <color theme="1"/>
        <rFont val="Arial"/>
        <family val="2"/>
      </rPr>
      <t>SS</t>
    </r>
    <r>
      <rPr>
        <sz val="11"/>
        <color theme="1"/>
        <rFont val="Arial"/>
        <family val="2"/>
      </rPr>
      <t xml:space="preserve"> from 0V to 6V)</t>
    </r>
    <phoneticPr fontId="1" type="noConversion"/>
  </si>
  <si>
    <t>Soft Start Capacitor</t>
    <phoneticPr fontId="1" type="noConversion"/>
  </si>
  <si>
    <r>
      <t>The Ripple Factor of Single Channel (K</t>
    </r>
    <r>
      <rPr>
        <vertAlign val="subscript"/>
        <sz val="11"/>
        <color theme="1"/>
        <rFont val="Arial"/>
        <family val="2"/>
      </rPr>
      <t>RF</t>
    </r>
    <r>
      <rPr>
        <sz val="11"/>
        <color theme="1"/>
        <rFont val="Arial"/>
        <family val="2"/>
      </rPr>
      <t>)</t>
    </r>
    <phoneticPr fontId="1" type="noConversion"/>
  </si>
  <si>
    <r>
      <t>Resistor of LS Pin (R</t>
    </r>
    <r>
      <rPr>
        <vertAlign val="subscript"/>
        <sz val="11"/>
        <color theme="1"/>
        <rFont val="Arial"/>
        <family val="2"/>
      </rPr>
      <t>LS</t>
    </r>
    <r>
      <rPr>
        <sz val="11"/>
        <color theme="1"/>
        <rFont val="Arial"/>
        <family val="2"/>
      </rPr>
      <t>)</t>
    </r>
    <phoneticPr fontId="1" type="noConversion"/>
  </si>
  <si>
    <r>
      <t>Resistor of GC Pin (R</t>
    </r>
    <r>
      <rPr>
        <vertAlign val="subscript"/>
        <sz val="11"/>
        <color theme="1"/>
        <rFont val="Arial"/>
        <family val="2"/>
      </rPr>
      <t>GC</t>
    </r>
    <r>
      <rPr>
        <sz val="11"/>
        <color theme="1"/>
        <rFont val="Arial"/>
        <family val="2"/>
      </rPr>
      <t>)</t>
    </r>
    <phoneticPr fontId="1" type="noConversion"/>
  </si>
  <si>
    <t>RLOAD</t>
    <phoneticPr fontId="1" type="noConversion"/>
  </si>
  <si>
    <t>CBULK</t>
    <phoneticPr fontId="1" type="noConversion"/>
  </si>
  <si>
    <t>VIN</t>
    <phoneticPr fontId="1" type="noConversion"/>
  </si>
  <si>
    <t>PO</t>
    <phoneticPr fontId="1" type="noConversion"/>
  </si>
  <si>
    <t>D</t>
    <phoneticPr fontId="1" type="noConversion"/>
  </si>
  <si>
    <t>RCS</t>
    <phoneticPr fontId="1" type="noConversion"/>
  </si>
  <si>
    <t>VRAMP</t>
    <phoneticPr fontId="1" type="noConversion"/>
  </si>
  <si>
    <t>GMI</t>
    <phoneticPr fontId="1" type="noConversion"/>
  </si>
  <si>
    <t>GMV</t>
    <phoneticPr fontId="1" type="noConversion"/>
  </si>
  <si>
    <t>RIC</t>
    <phoneticPr fontId="1" type="noConversion"/>
  </si>
  <si>
    <t>CIC2</t>
    <phoneticPr fontId="1" type="noConversion"/>
  </si>
  <si>
    <t>RVC</t>
    <phoneticPr fontId="1" type="noConversion"/>
  </si>
  <si>
    <t>CVC1</t>
    <phoneticPr fontId="1" type="noConversion"/>
  </si>
  <si>
    <t>fH</t>
    <phoneticPr fontId="1" type="noConversion"/>
  </si>
  <si>
    <t>fIC</t>
    <phoneticPr fontId="1" type="noConversion"/>
  </si>
  <si>
    <t>fIP</t>
    <phoneticPr fontId="1" type="noConversion"/>
  </si>
  <si>
    <t>fVH</t>
    <phoneticPr fontId="1" type="noConversion"/>
  </si>
  <si>
    <t>Idavg</t>
    <phoneticPr fontId="1" type="noConversion"/>
  </si>
  <si>
    <t>VEA-H</t>
    <phoneticPr fontId="1" type="noConversion"/>
  </si>
  <si>
    <t>VEA-P-P(%)</t>
    <phoneticPr fontId="1" type="noConversion"/>
  </si>
  <si>
    <t>VEA-D</t>
    <phoneticPr fontId="1" type="noConversion"/>
  </si>
  <si>
    <r>
      <t>Output Power (P</t>
    </r>
    <r>
      <rPr>
        <vertAlign val="subscript"/>
        <sz val="11"/>
        <color theme="1"/>
        <rFont val="Arial"/>
        <family val="2"/>
      </rPr>
      <t>OUT-TOT</t>
    </r>
    <r>
      <rPr>
        <sz val="11"/>
        <color theme="1"/>
        <rFont val="Arial"/>
        <family val="2"/>
      </rPr>
      <t>)</t>
    </r>
    <phoneticPr fontId="2" type="noConversion"/>
  </si>
  <si>
    <r>
      <t>Output Capactor (C</t>
    </r>
    <r>
      <rPr>
        <vertAlign val="subscript"/>
        <sz val="11"/>
        <color theme="1"/>
        <rFont val="Arial"/>
        <family val="2"/>
      </rPr>
      <t>OUT2</t>
    </r>
    <r>
      <rPr>
        <sz val="11"/>
        <color theme="1"/>
        <rFont val="Arial"/>
        <family val="2"/>
      </rPr>
      <t>)</t>
    </r>
    <phoneticPr fontId="1" type="noConversion"/>
  </si>
  <si>
    <r>
      <t>Output Capactor (C</t>
    </r>
    <r>
      <rPr>
        <vertAlign val="subscript"/>
        <sz val="11"/>
        <color theme="1"/>
        <rFont val="Arial"/>
        <family val="2"/>
      </rPr>
      <t>OUT1</t>
    </r>
    <r>
      <rPr>
        <sz val="11"/>
        <color theme="1"/>
        <rFont val="Arial"/>
        <family val="2"/>
      </rPr>
      <t>)</t>
    </r>
    <phoneticPr fontId="1" type="noConversion"/>
  </si>
  <si>
    <t>L</t>
    <phoneticPr fontId="1" type="noConversion"/>
  </si>
  <si>
    <t>VPFC</t>
    <phoneticPr fontId="1" type="noConversion"/>
  </si>
  <si>
    <t>fVP</t>
    <phoneticPr fontId="1" type="noConversion"/>
  </si>
  <si>
    <t>w1</t>
    <phoneticPr fontId="2" type="noConversion"/>
  </si>
  <si>
    <t>f1</t>
    <phoneticPr fontId="2" type="noConversion"/>
  </si>
  <si>
    <t>w2</t>
    <phoneticPr fontId="1" type="noConversion"/>
  </si>
  <si>
    <t>f3</t>
    <phoneticPr fontId="1" type="noConversion"/>
  </si>
  <si>
    <t>fg</t>
    <phoneticPr fontId="1" type="noConversion"/>
  </si>
  <si>
    <t>fc1</t>
    <phoneticPr fontId="2" type="noConversion"/>
  </si>
  <si>
    <t>wc2</t>
    <phoneticPr fontId="1" type="noConversion"/>
  </si>
  <si>
    <t>fc2</t>
    <phoneticPr fontId="1" type="noConversion"/>
  </si>
  <si>
    <t>fc</t>
    <phoneticPr fontId="1" type="noConversion"/>
  </si>
  <si>
    <t>phclo</t>
    <phoneticPr fontId="1" type="noConversion"/>
  </si>
  <si>
    <t>fvg</t>
    <phoneticPr fontId="1" type="noConversion"/>
  </si>
  <si>
    <t>V</t>
    <phoneticPr fontId="1" type="noConversion"/>
  </si>
  <si>
    <t>Channel Number</t>
  </si>
  <si>
    <t>AC Input Range = 1.(90V~264V) / 2.(180V~264V)</t>
  </si>
  <si>
    <r>
      <t>Maximum Input (V</t>
    </r>
    <r>
      <rPr>
        <vertAlign val="subscript"/>
        <sz val="11"/>
        <color theme="1"/>
        <rFont val="Arial"/>
        <family val="2"/>
      </rPr>
      <t>IN.PK</t>
    </r>
    <r>
      <rPr>
        <sz val="11"/>
        <color theme="1"/>
        <rFont val="Arial"/>
        <family val="2"/>
      </rPr>
      <t>)</t>
    </r>
  </si>
  <si>
    <t>Maximum AC Input</t>
  </si>
  <si>
    <t>VAC</t>
  </si>
  <si>
    <t>V</t>
  </si>
  <si>
    <t>V/V</t>
  </si>
  <si>
    <t>Step2: Frequency Setting</t>
  </si>
  <si>
    <r>
      <t>Step3: R</t>
    </r>
    <r>
      <rPr>
        <b/>
        <vertAlign val="subscript"/>
        <sz val="11"/>
        <color theme="1"/>
        <rFont val="Arial"/>
        <family val="2"/>
      </rPr>
      <t>RLPK</t>
    </r>
    <r>
      <rPr>
        <b/>
        <sz val="11"/>
        <color theme="1"/>
        <rFont val="Arial"/>
        <family val="2"/>
      </rPr>
      <t xml:space="preserve"> Select</t>
    </r>
  </si>
  <si>
    <r>
      <t>Step4: V</t>
    </r>
    <r>
      <rPr>
        <b/>
        <vertAlign val="subscript"/>
        <sz val="11"/>
        <color theme="1"/>
        <rFont val="Arial"/>
        <family val="2"/>
      </rPr>
      <t>IN</t>
    </r>
    <r>
      <rPr>
        <b/>
        <sz val="11"/>
        <color theme="1"/>
        <rFont val="Arial"/>
        <family val="2"/>
      </rPr>
      <t xml:space="preserve"> Range &amp; R</t>
    </r>
    <r>
      <rPr>
        <b/>
        <vertAlign val="subscript"/>
        <sz val="11"/>
        <color theme="1"/>
        <rFont val="Arial"/>
        <family val="2"/>
      </rPr>
      <t>IAC</t>
    </r>
    <r>
      <rPr>
        <b/>
        <sz val="11"/>
        <color theme="1"/>
        <rFont val="Arial"/>
        <family val="2"/>
      </rPr>
      <t xml:space="preserve"> Setting &amp; Brown In/Out</t>
    </r>
  </si>
  <si>
    <t>Step5: PFC Inductor Design</t>
  </si>
  <si>
    <t>Step6: PFC Output Capactor Design</t>
  </si>
  <si>
    <t>Step7: Output Sensing &amp; PVO Setting</t>
  </si>
  <si>
    <t>Step8: Current-Sensing &amp; Current-Limit</t>
  </si>
  <si>
    <t>Step9: Soft Start</t>
  </si>
  <si>
    <t>Step10: LS &amp; GC Setting</t>
  </si>
  <si>
    <t>Step11: PFC Current Loop Design (IEA)</t>
  </si>
  <si>
    <t>Step12: PFC Voltage Loop Design (VEA)</t>
  </si>
  <si>
    <t>VRAMP</t>
  </si>
  <si>
    <r>
      <t>Output Voltage (V</t>
    </r>
    <r>
      <rPr>
        <vertAlign val="subscript"/>
        <sz val="11"/>
        <color theme="1"/>
        <rFont val="Arial"/>
        <family val="2"/>
      </rPr>
      <t>PFC2</t>
    </r>
    <r>
      <rPr>
        <sz val="11"/>
        <color theme="1"/>
        <rFont val="Arial"/>
        <family val="2"/>
      </rPr>
      <t>)</t>
    </r>
  </si>
  <si>
    <r>
      <t>Efficiency (</t>
    </r>
    <r>
      <rPr>
        <sz val="11"/>
        <color theme="1"/>
        <rFont val="Calibri"/>
        <family val="2"/>
      </rPr>
      <t>η</t>
    </r>
    <r>
      <rPr>
        <sz val="11"/>
        <color theme="1"/>
        <rFont val="Arial"/>
        <family val="2"/>
      </rPr>
      <t>)</t>
    </r>
  </si>
  <si>
    <r>
      <t>Input Voltage of PVO (V</t>
    </r>
    <r>
      <rPr>
        <vertAlign val="subscript"/>
        <sz val="11"/>
        <color theme="1"/>
        <rFont val="Arial"/>
        <family val="2"/>
      </rPr>
      <t>PVO</t>
    </r>
    <r>
      <rPr>
        <sz val="11"/>
        <color theme="1"/>
        <rFont val="Arial"/>
        <family val="2"/>
      </rPr>
      <t>)</t>
    </r>
  </si>
  <si>
    <t>kΩ</t>
  </si>
  <si>
    <t>MΩ</t>
  </si>
  <si>
    <t>μH</t>
  </si>
  <si>
    <t>μF</t>
  </si>
  <si>
    <t>mΩ</t>
  </si>
  <si>
    <t>uF</t>
  </si>
  <si>
    <t>nF</t>
  </si>
  <si>
    <r>
      <t>Output Voltage (V</t>
    </r>
    <r>
      <rPr>
        <vertAlign val="subscript"/>
        <sz val="11"/>
        <color theme="1"/>
        <rFont val="Arial"/>
        <family val="2"/>
      </rPr>
      <t>PFC</t>
    </r>
    <r>
      <rPr>
        <sz val="11"/>
        <color theme="1"/>
        <rFont val="Arial"/>
        <family val="2"/>
      </rPr>
      <t>)</t>
    </r>
  </si>
  <si>
    <t>OVP of Output Voltage (OVP)</t>
  </si>
  <si>
    <r>
      <t>Resistor of BIBO Pin 2 (R</t>
    </r>
    <r>
      <rPr>
        <vertAlign val="subscript"/>
        <sz val="11"/>
        <color theme="1"/>
        <rFont val="Arial"/>
        <family val="2"/>
      </rPr>
      <t>B3</t>
    </r>
    <r>
      <rPr>
        <sz val="11"/>
        <color theme="1"/>
        <rFont val="Arial"/>
        <family val="2"/>
      </rPr>
      <t>)</t>
    </r>
  </si>
  <si>
    <r>
      <t>Capacitor of BIBO (C</t>
    </r>
    <r>
      <rPr>
        <vertAlign val="subscript"/>
        <sz val="11"/>
        <color theme="1"/>
        <rFont val="Arial"/>
        <family val="2"/>
      </rPr>
      <t>B1</t>
    </r>
    <r>
      <rPr>
        <sz val="11"/>
        <color theme="1"/>
        <rFont val="Arial"/>
        <family val="2"/>
      </rPr>
      <t>)</t>
    </r>
  </si>
  <si>
    <r>
      <t>Capacitor of BIBO (C</t>
    </r>
    <r>
      <rPr>
        <vertAlign val="subscript"/>
        <sz val="11"/>
        <color theme="1"/>
        <rFont val="Arial"/>
        <family val="2"/>
      </rPr>
      <t>B2</t>
    </r>
    <r>
      <rPr>
        <sz val="11"/>
        <color theme="1"/>
        <rFont val="Arial"/>
        <family val="2"/>
      </rPr>
      <t>)</t>
    </r>
  </si>
  <si>
    <t>Hz</t>
  </si>
  <si>
    <r>
      <t>Resistor of BIBO Pin 2 (R</t>
    </r>
    <r>
      <rPr>
        <vertAlign val="subscript"/>
        <sz val="11"/>
        <color theme="1"/>
        <rFont val="Arial"/>
        <family val="2"/>
      </rPr>
      <t>B4</t>
    </r>
    <r>
      <rPr>
        <sz val="11"/>
        <color theme="1"/>
        <rFont val="Arial"/>
        <family val="2"/>
      </rPr>
      <t>)</t>
    </r>
  </si>
  <si>
    <r>
      <t>Resistor of BIBO Pin 1 (R</t>
    </r>
    <r>
      <rPr>
        <vertAlign val="subscript"/>
        <sz val="11"/>
        <color theme="1"/>
        <rFont val="Arial"/>
        <family val="2"/>
      </rPr>
      <t>B1</t>
    </r>
    <r>
      <rPr>
        <sz val="11"/>
        <color theme="1"/>
        <rFont val="Arial"/>
        <family val="2"/>
      </rPr>
      <t>+R</t>
    </r>
    <r>
      <rPr>
        <vertAlign val="subscript"/>
        <sz val="11"/>
        <color theme="1"/>
        <rFont val="Arial"/>
        <family val="2"/>
      </rPr>
      <t>B2</t>
    </r>
    <r>
      <rPr>
        <sz val="11"/>
        <color theme="1"/>
        <rFont val="Arial"/>
        <family val="2"/>
      </rPr>
      <t>)</t>
    </r>
  </si>
  <si>
    <t>%</t>
  </si>
  <si>
    <t xml:space="preserve">   </t>
  </si>
  <si>
    <t xml:space="preserve">   should higher than this value and have enough margin</t>
  </si>
  <si>
    <t xml:space="preserve">       Select a close value to input next space</t>
  </si>
  <si>
    <r>
      <t>* V</t>
    </r>
    <r>
      <rPr>
        <vertAlign val="subscript"/>
        <sz val="11"/>
        <color theme="1"/>
        <rFont val="Arial"/>
        <family val="2"/>
      </rPr>
      <t>PFC</t>
    </r>
    <r>
      <rPr>
        <sz val="11"/>
        <color theme="1"/>
        <rFont val="Arial"/>
        <family val="2"/>
      </rPr>
      <t xml:space="preserve"> should be higher than V</t>
    </r>
    <r>
      <rPr>
        <vertAlign val="subscript"/>
        <sz val="11"/>
        <color theme="1"/>
        <rFont val="Arial"/>
        <family val="2"/>
      </rPr>
      <t>IN.PK for</t>
    </r>
    <r>
      <rPr>
        <sz val="11"/>
        <color theme="1"/>
        <rFont val="Arial"/>
        <family val="2"/>
      </rPr>
      <t xml:space="preserve"> at least 20V</t>
    </r>
  </si>
  <si>
    <t>* This value should be less than 264VAC</t>
  </si>
  <si>
    <t>* Higher than 5% is recommanded</t>
  </si>
  <si>
    <t>* Suggest to use a value that less and close to the calculation</t>
  </si>
  <si>
    <t>* choose "1" or "2"</t>
  </si>
  <si>
    <t xml:space="preserve">   Input of PVO should reside in 0.5V~3.5V</t>
  </si>
  <si>
    <r>
      <t>* Making V</t>
    </r>
    <r>
      <rPr>
        <vertAlign val="subscript"/>
        <sz val="11"/>
        <color theme="1"/>
        <rFont val="Arial"/>
        <family val="2"/>
      </rPr>
      <t>VEA</t>
    </r>
    <r>
      <rPr>
        <sz val="11"/>
        <color theme="1"/>
        <rFont val="Arial"/>
        <family val="2"/>
      </rPr>
      <t>=4~5V when PFC output power is 100% load</t>
    </r>
  </si>
  <si>
    <t>* Select PVO level to determine output voltage,</t>
  </si>
  <si>
    <t>* Select output voltage level to determine input of PVO</t>
  </si>
  <si>
    <r>
      <t>* Choose C</t>
    </r>
    <r>
      <rPr>
        <vertAlign val="subscript"/>
        <sz val="11"/>
        <color theme="1"/>
        <rFont val="Arial"/>
        <family val="2"/>
      </rPr>
      <t>PFC</t>
    </r>
    <r>
      <rPr>
        <sz val="11"/>
        <color theme="1"/>
        <rFont val="Arial"/>
        <family val="2"/>
      </rPr>
      <t xml:space="preserve"> refering to C</t>
    </r>
    <r>
      <rPr>
        <vertAlign val="subscript"/>
        <sz val="11"/>
        <color theme="1"/>
        <rFont val="Arial"/>
        <family val="2"/>
      </rPr>
      <t>OUT1</t>
    </r>
    <r>
      <rPr>
        <sz val="11"/>
        <color theme="1"/>
        <rFont val="Arial"/>
        <family val="2"/>
      </rPr>
      <t xml:space="preserve"> and C</t>
    </r>
    <r>
      <rPr>
        <vertAlign val="subscript"/>
        <sz val="11"/>
        <color theme="1"/>
        <rFont val="Arial"/>
        <family val="2"/>
      </rPr>
      <t>OUT2</t>
    </r>
    <r>
      <rPr>
        <sz val="11"/>
        <color theme="1"/>
        <rFont val="Arial"/>
        <family val="2"/>
      </rPr>
      <t xml:space="preserve"> result. (C</t>
    </r>
    <r>
      <rPr>
        <vertAlign val="subscript"/>
        <sz val="11"/>
        <color theme="1"/>
        <rFont val="Arial"/>
        <family val="2"/>
      </rPr>
      <t>OUT1</t>
    </r>
    <r>
      <rPr>
        <sz val="11"/>
        <color theme="1"/>
        <rFont val="Arial"/>
        <family val="2"/>
      </rPr>
      <t xml:space="preserve"> is for considering voltage</t>
    </r>
  </si>
  <si>
    <r>
      <t xml:space="preserve">   ripple and C</t>
    </r>
    <r>
      <rPr>
        <vertAlign val="subscript"/>
        <sz val="11"/>
        <color theme="1"/>
        <rFont val="Arial"/>
        <family val="2"/>
      </rPr>
      <t>OUT2</t>
    </r>
    <r>
      <rPr>
        <sz val="11"/>
        <color theme="1"/>
        <rFont val="Arial"/>
        <family val="2"/>
      </rPr>
      <t xml:space="preserve"> is for considering hold-up time)</t>
    </r>
  </si>
  <si>
    <r>
      <t>* During hold-up time, V</t>
    </r>
    <r>
      <rPr>
        <vertAlign val="subscript"/>
        <sz val="11"/>
        <color theme="1"/>
        <rFont val="Arial"/>
        <family val="2"/>
      </rPr>
      <t>OUT</t>
    </r>
    <r>
      <rPr>
        <sz val="11"/>
        <color theme="1"/>
        <rFont val="Arial"/>
        <family val="2"/>
      </rPr>
      <t xml:space="preserve"> drop to V</t>
    </r>
    <r>
      <rPr>
        <vertAlign val="subscript"/>
        <sz val="11"/>
        <color theme="1"/>
        <rFont val="Arial"/>
        <family val="2"/>
      </rPr>
      <t>PFC-MIN</t>
    </r>
    <r>
      <rPr>
        <sz val="11"/>
        <color theme="1"/>
        <rFont val="Arial"/>
        <family val="2"/>
      </rPr>
      <t xml:space="preserve"> form V</t>
    </r>
    <r>
      <rPr>
        <vertAlign val="subscript"/>
        <sz val="11"/>
        <color theme="1"/>
        <rFont val="Arial"/>
        <family val="2"/>
      </rPr>
      <t>PFC</t>
    </r>
    <r>
      <rPr>
        <sz val="11"/>
        <color theme="1"/>
        <rFont val="Arial"/>
        <family val="2"/>
      </rPr>
      <t xml:space="preserve"> (when V</t>
    </r>
    <r>
      <rPr>
        <vertAlign val="subscript"/>
        <sz val="11"/>
        <color theme="1"/>
        <rFont val="Arial"/>
        <family val="2"/>
      </rPr>
      <t>PVO</t>
    </r>
    <r>
      <rPr>
        <sz val="11"/>
        <color theme="1"/>
        <rFont val="Arial"/>
        <family val="2"/>
      </rPr>
      <t>=0V)</t>
    </r>
  </si>
  <si>
    <r>
      <t>* if AC input range is 90V~264V, setting V</t>
    </r>
    <r>
      <rPr>
        <vertAlign val="subscript"/>
        <sz val="11"/>
        <color theme="1"/>
        <rFont val="Arial"/>
        <family val="2"/>
      </rPr>
      <t>BI</t>
    </r>
    <r>
      <rPr>
        <sz val="11"/>
        <color theme="1"/>
        <rFont val="Arial"/>
        <family val="2"/>
      </rPr>
      <t xml:space="preserve"> at 85V is recommanded.</t>
    </r>
  </si>
  <si>
    <r>
      <t>* if AC input range is 180V~264V, setting V</t>
    </r>
    <r>
      <rPr>
        <vertAlign val="subscript"/>
        <sz val="11"/>
        <color theme="1"/>
        <rFont val="Arial"/>
        <family val="2"/>
      </rPr>
      <t xml:space="preserve">BI </t>
    </r>
    <r>
      <rPr>
        <sz val="11"/>
        <color theme="1"/>
        <rFont val="Arial"/>
        <family val="2"/>
      </rPr>
      <t>at 170V is recommanded</t>
    </r>
  </si>
  <si>
    <t>* System frequency should reside in 75kHz~55kHz or 40kHz~18kHz</t>
  </si>
  <si>
    <r>
      <t>Resistor of RI Pin (R</t>
    </r>
    <r>
      <rPr>
        <vertAlign val="subscript"/>
        <sz val="11"/>
        <color theme="1"/>
        <rFont val="Arial"/>
        <family val="2"/>
      </rPr>
      <t>RI</t>
    </r>
    <r>
      <rPr>
        <sz val="11"/>
        <color theme="1"/>
        <rFont val="Arial"/>
        <family val="2"/>
      </rPr>
      <t>)</t>
    </r>
  </si>
  <si>
    <r>
      <t>Resistor of RLPK Pin (R</t>
    </r>
    <r>
      <rPr>
        <vertAlign val="subscript"/>
        <sz val="11"/>
        <color theme="1"/>
        <rFont val="Arial"/>
        <family val="2"/>
      </rPr>
      <t>RLPK</t>
    </r>
    <r>
      <rPr>
        <sz val="11"/>
        <color theme="1"/>
        <rFont val="Arial"/>
        <family val="2"/>
      </rPr>
      <t>)</t>
    </r>
  </si>
  <si>
    <r>
      <t>Max. Value of Average Inductor Current (I</t>
    </r>
    <r>
      <rPr>
        <vertAlign val="subscript"/>
        <sz val="11"/>
        <color theme="1"/>
        <rFont val="Arial"/>
        <family val="2"/>
      </rPr>
      <t>L-AVG</t>
    </r>
    <r>
      <rPr>
        <sz val="11"/>
        <color theme="1"/>
        <rFont val="Arial"/>
        <family val="2"/>
      </rPr>
      <t>)</t>
    </r>
  </si>
  <si>
    <r>
      <t>The Pole of the Low Pass Filter (f</t>
    </r>
    <r>
      <rPr>
        <vertAlign val="subscript"/>
        <sz val="11"/>
        <color theme="1"/>
        <rFont val="Arial"/>
        <family val="2"/>
      </rPr>
      <t>P1</t>
    </r>
    <r>
      <rPr>
        <sz val="11"/>
        <color theme="1"/>
        <rFont val="Arial"/>
        <family val="2"/>
      </rPr>
      <t>)</t>
    </r>
  </si>
  <si>
    <r>
      <t>The Pole of the Low Pass Filter (f</t>
    </r>
    <r>
      <rPr>
        <vertAlign val="subscript"/>
        <sz val="11"/>
        <color theme="1"/>
        <rFont val="Arial"/>
        <family val="2"/>
      </rPr>
      <t>P2</t>
    </r>
    <r>
      <rPr>
        <sz val="11"/>
        <color theme="1"/>
        <rFont val="Arial"/>
        <family val="2"/>
      </rPr>
      <t>)</t>
    </r>
  </si>
  <si>
    <r>
      <t>Output Voltage Ripple Percent (V</t>
    </r>
    <r>
      <rPr>
        <vertAlign val="subscript"/>
        <sz val="11"/>
        <color theme="1"/>
        <rFont val="Arial"/>
        <family val="2"/>
      </rPr>
      <t>PFC-RIPPLE%</t>
    </r>
    <r>
      <rPr>
        <sz val="11"/>
        <color theme="1"/>
        <rFont val="Arial"/>
        <family val="2"/>
      </rPr>
      <t>)</t>
    </r>
  </si>
  <si>
    <r>
      <t>* OVP is 110% of V</t>
    </r>
    <r>
      <rPr>
        <vertAlign val="subscript"/>
        <sz val="11"/>
        <rFont val="Arial"/>
        <family val="2"/>
      </rPr>
      <t>PFC.</t>
    </r>
    <r>
      <rPr>
        <sz val="11"/>
        <rFont val="Arial"/>
        <family val="2"/>
      </rPr>
      <t xml:space="preserve"> The voltage rating of output capacitor C</t>
    </r>
    <r>
      <rPr>
        <vertAlign val="subscript"/>
        <sz val="11"/>
        <rFont val="Arial"/>
        <family val="2"/>
      </rPr>
      <t>OUT</t>
    </r>
    <r>
      <rPr>
        <sz val="11"/>
        <rFont val="Arial"/>
        <family val="2"/>
      </rPr>
      <t xml:space="preserve"> </t>
    </r>
  </si>
  <si>
    <r>
      <t>Duty at V</t>
    </r>
    <r>
      <rPr>
        <vertAlign val="subscript"/>
        <sz val="11"/>
        <color theme="1"/>
        <rFont val="Arial"/>
        <family val="2"/>
      </rPr>
      <t>IN.PK</t>
    </r>
  </si>
  <si>
    <t>* Keep it lower than 3.8 V</t>
  </si>
  <si>
    <t>ms</t>
  </si>
  <si>
    <t>VCS/VIEA @ fIC</t>
  </si>
  <si>
    <r>
      <t>Current Sense level at I</t>
    </r>
    <r>
      <rPr>
        <vertAlign val="subscript"/>
        <sz val="11"/>
        <color theme="1"/>
        <rFont val="Arial"/>
        <family val="2"/>
      </rPr>
      <t>PK-BO</t>
    </r>
    <r>
      <rPr>
        <sz val="11"/>
        <color theme="1"/>
        <rFont val="Arial"/>
        <family val="2"/>
      </rPr>
      <t xml:space="preserve"> (V</t>
    </r>
    <r>
      <rPr>
        <vertAlign val="subscript"/>
        <sz val="11"/>
        <color theme="1"/>
        <rFont val="Arial"/>
        <family val="2"/>
      </rPr>
      <t>CS-PK</t>
    </r>
    <r>
      <rPr>
        <sz val="11"/>
        <color theme="1"/>
        <rFont val="Arial"/>
        <family val="2"/>
      </rPr>
      <t>)</t>
    </r>
  </si>
  <si>
    <r>
      <t>Current limit ratio to I</t>
    </r>
    <r>
      <rPr>
        <vertAlign val="subscript"/>
        <sz val="11"/>
        <color theme="1"/>
        <rFont val="Arial"/>
        <family val="2"/>
      </rPr>
      <t>PK-BO</t>
    </r>
  </si>
  <si>
    <r>
      <t>Current command level at maximum I</t>
    </r>
    <r>
      <rPr>
        <vertAlign val="subscript"/>
        <sz val="11"/>
        <color theme="1"/>
        <rFont val="Arial"/>
        <family val="2"/>
      </rPr>
      <t>L-AVG</t>
    </r>
  </si>
  <si>
    <t>Current command clamping ratio</t>
  </si>
  <si>
    <t>FAN9673/FAN9672 Boost PFC Design tool</t>
  </si>
  <si>
    <r>
      <t>Saturatuon Protection Setting (R</t>
    </r>
    <r>
      <rPr>
        <vertAlign val="subscript"/>
        <sz val="11"/>
        <color theme="1"/>
        <rFont val="Arial"/>
        <family val="2"/>
      </rPr>
      <t>LIMIT2</t>
    </r>
    <r>
      <rPr>
        <sz val="11"/>
        <color theme="1"/>
        <rFont val="Arial"/>
        <family val="2"/>
      </rPr>
      <t>, 150%)</t>
    </r>
  </si>
  <si>
    <r>
      <t>Current-command Protection Setting (R</t>
    </r>
    <r>
      <rPr>
        <vertAlign val="subscript"/>
        <sz val="11"/>
        <color theme="1"/>
        <rFont val="Arial"/>
        <family val="2"/>
      </rPr>
      <t>ILIMIT</t>
    </r>
    <r>
      <rPr>
        <sz val="11"/>
        <color theme="1"/>
        <rFont val="Arial"/>
        <family val="2"/>
      </rPr>
      <t>)</t>
    </r>
  </si>
  <si>
    <t>* Recommen to be 100</t>
  </si>
  <si>
    <r>
      <t>Ratio of V</t>
    </r>
    <r>
      <rPr>
        <vertAlign val="subscript"/>
        <sz val="11"/>
        <color theme="1"/>
        <rFont val="Arial"/>
        <family val="2"/>
      </rPr>
      <t>IN.PK</t>
    </r>
    <r>
      <rPr>
        <sz val="11"/>
        <color theme="1"/>
        <rFont val="Arial"/>
        <family val="2"/>
      </rPr>
      <t xml:space="preserve"> / V</t>
    </r>
    <r>
      <rPr>
        <vertAlign val="subscript"/>
        <sz val="11"/>
        <color theme="1"/>
        <rFont val="Arial"/>
        <family val="2"/>
      </rPr>
      <t>LPK</t>
    </r>
  </si>
  <si>
    <r>
      <t>V</t>
    </r>
    <r>
      <rPr>
        <vertAlign val="subscript"/>
        <sz val="11"/>
        <color theme="1"/>
        <rFont val="Arial"/>
        <family val="2"/>
      </rPr>
      <t xml:space="preserve">LPK </t>
    </r>
    <r>
      <rPr>
        <sz val="11"/>
        <color theme="1"/>
        <rFont val="Arial"/>
        <family val="2"/>
      </rPr>
      <t>value at V</t>
    </r>
    <r>
      <rPr>
        <vertAlign val="subscript"/>
        <sz val="11"/>
        <color theme="1"/>
        <rFont val="Arial"/>
        <family val="2"/>
      </rPr>
      <t>IN.PK</t>
    </r>
  </si>
  <si>
    <r>
      <t>V</t>
    </r>
    <r>
      <rPr>
        <vertAlign val="subscript"/>
        <sz val="11"/>
        <color theme="1"/>
        <rFont val="Arial"/>
        <family val="2"/>
      </rPr>
      <t xml:space="preserve">LPK </t>
    </r>
    <r>
      <rPr>
        <sz val="11"/>
        <color theme="1"/>
        <rFont val="Arial"/>
        <family val="2"/>
      </rPr>
      <t>value for multiplier input (a.k.a. V</t>
    </r>
    <r>
      <rPr>
        <vertAlign val="subscript"/>
        <sz val="11"/>
        <color theme="1"/>
        <rFont val="Arial"/>
        <family val="2"/>
      </rPr>
      <t>RMS</t>
    </r>
    <r>
      <rPr>
        <sz val="11"/>
        <color theme="1"/>
        <rFont val="Arial"/>
        <family val="2"/>
      </rPr>
      <t>) at V</t>
    </r>
    <r>
      <rPr>
        <vertAlign val="subscript"/>
        <sz val="11"/>
        <color theme="1"/>
        <rFont val="Arial"/>
        <family val="2"/>
      </rPr>
      <t>BO</t>
    </r>
  </si>
  <si>
    <r>
      <t>* P</t>
    </r>
    <r>
      <rPr>
        <vertAlign val="subscript"/>
        <sz val="11"/>
        <color theme="1"/>
        <rFont val="Arial"/>
        <family val="2"/>
      </rPr>
      <t>O-MAX</t>
    </r>
    <r>
      <rPr>
        <sz val="11"/>
        <color theme="1"/>
        <rFont val="Arial"/>
        <family val="2"/>
      </rPr>
      <t xml:space="preserve"> means the power level at the highest V</t>
    </r>
    <r>
      <rPr>
        <vertAlign val="subscript"/>
        <sz val="11"/>
        <color theme="1"/>
        <rFont val="Arial"/>
        <family val="2"/>
      </rPr>
      <t>VEA</t>
    </r>
  </si>
  <si>
    <r>
      <t>V</t>
    </r>
    <r>
      <rPr>
        <vertAlign val="subscript"/>
        <sz val="11"/>
        <color theme="1"/>
        <rFont val="Arial"/>
        <family val="2"/>
      </rPr>
      <t>VEA</t>
    </r>
    <r>
      <rPr>
        <sz val="11"/>
        <color theme="1"/>
        <rFont val="Arial"/>
        <family val="2"/>
      </rPr>
      <t xml:space="preserve"> at P</t>
    </r>
    <r>
      <rPr>
        <vertAlign val="subscript"/>
        <sz val="11"/>
        <color theme="1"/>
        <rFont val="Arial"/>
        <family val="2"/>
      </rPr>
      <t>O-MAX</t>
    </r>
  </si>
  <si>
    <t>* Peak switch current at rated full power and brown-out condition</t>
  </si>
  <si>
    <t>* Peak input current at rated full power and brown-out condition</t>
  </si>
  <si>
    <r>
      <rPr>
        <sz val="11"/>
        <color rgb="FFFF0000"/>
        <rFont val="Arial"/>
        <family val="2"/>
      </rPr>
      <t>* R</t>
    </r>
    <r>
      <rPr>
        <vertAlign val="subscript"/>
        <sz val="11"/>
        <color rgb="FFFF0000"/>
        <rFont val="Arial"/>
        <family val="2"/>
      </rPr>
      <t>LS</t>
    </r>
    <r>
      <rPr>
        <sz val="11"/>
        <color rgb="FFFF0000"/>
        <rFont val="Arial"/>
        <family val="2"/>
      </rPr>
      <t xml:space="preserve"> needs to be within the range of 12~87 kΩ. You may need to adjust inductance if exceeded.</t>
    </r>
  </si>
  <si>
    <t>* Set around 4~5 V, which leaves some room from 5.6 V</t>
  </si>
  <si>
    <t>Rev 1.5</t>
  </si>
  <si>
    <t>2022.08.11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</si>
</sst>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"/>
  </numFmts>
  <fonts count="19">
    <font>
      <sz val="11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sz val="9"/>
      <name val="Calibri"/>
      <family val="2"/>
      <charset val="136"/>
      <scheme val="minor"/>
    </font>
    <font>
      <sz val="12"/>
      <name val="新細明體"/>
      <family val="1"/>
      <charset val="136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sz val="11"/>
      <color rgb="FFFF33CC"/>
      <name val="Arial"/>
      <family val="2"/>
    </font>
    <font>
      <b/>
      <vertAlign val="subscript"/>
      <sz val="11"/>
      <color theme="1"/>
      <name val="Arial"/>
      <family val="2"/>
    </font>
    <font>
      <b/>
      <sz val="11"/>
      <color rgb="FF006600"/>
      <name val="Arial"/>
      <family val="2"/>
    </font>
    <font>
      <b/>
      <sz val="11"/>
      <color rgb="FF006600"/>
      <name val="Calibri"/>
      <family val="2"/>
    </font>
    <font>
      <vertAlign val="subscript"/>
      <sz val="11"/>
      <name val="Arial"/>
      <family val="2"/>
    </font>
    <font>
      <sz val="11"/>
      <color rgb="FFFF0000"/>
      <name val="Arial"/>
      <family val="2"/>
    </font>
    <font>
      <vertAlign val="subscript"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97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3" borderId="1" xfId="0" applyFont="1" applyFill="1" applyBorder="1" applyAlignment="1">
      <alignment vertical="center"/>
    </xf>
    <xf numFmtId="0" fontId="8" fillId="0" borderId="0" xfId="0" applyFont="1" applyFill="1" applyProtection="1">
      <protection hidden="1"/>
    </xf>
    <xf numFmtId="0" fontId="8" fillId="0" borderId="0" xfId="0" quotePrefix="1" applyFont="1" applyFill="1" applyProtection="1">
      <protection hidden="1"/>
    </xf>
    <xf numFmtId="0" fontId="10" fillId="0" borderId="0" xfId="0" applyFont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5" fillId="4" borderId="1" xfId="0" applyFont="1" applyFill="1" applyBorder="1" applyAlignment="1" applyProtection="1">
      <alignment vertical="center"/>
      <protection hidden="1"/>
    </xf>
    <xf numFmtId="0" fontId="5" fillId="4" borderId="1" xfId="0" applyFont="1" applyFill="1" applyBorder="1" applyAlignment="1" applyProtection="1">
      <alignment horizontal="right" vertical="center"/>
      <protection hidden="1"/>
    </xf>
    <xf numFmtId="0" fontId="5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0" fontId="7" fillId="4" borderId="1" xfId="0" applyFont="1" applyFill="1" applyBorder="1" applyAlignment="1" applyProtection="1">
      <alignment horizontal="right" vertical="center"/>
      <protection hidden="1"/>
    </xf>
    <xf numFmtId="0" fontId="4" fillId="4" borderId="1" xfId="0" applyFont="1" applyFill="1" applyBorder="1" applyAlignment="1" applyProtection="1">
      <alignment horizontal="right" vertical="center"/>
      <protection hidden="1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right" vertical="center"/>
      <protection locked="0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4" borderId="1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right" vertical="center"/>
    </xf>
    <xf numFmtId="0" fontId="5" fillId="0" borderId="0" xfId="0" applyFont="1" applyProtection="1"/>
    <xf numFmtId="0" fontId="5" fillId="2" borderId="0" xfId="0" applyFont="1" applyFill="1" applyAlignment="1" applyProtection="1">
      <alignment vertical="center"/>
    </xf>
    <xf numFmtId="0" fontId="5" fillId="5" borderId="1" xfId="0" applyFont="1" applyFill="1" applyBorder="1" applyAlignment="1" applyProtection="1">
      <alignment horizontal="right" vertical="center"/>
    </xf>
    <xf numFmtId="0" fontId="7" fillId="5" borderId="1" xfId="0" applyFont="1" applyFill="1" applyBorder="1" applyAlignment="1" applyProtection="1">
      <alignment horizontal="right" vertical="center"/>
      <protection hidden="1"/>
    </xf>
    <xf numFmtId="0" fontId="12" fillId="0" borderId="0" xfId="0" applyFont="1" applyProtection="1">
      <protection hidden="1"/>
    </xf>
    <xf numFmtId="0" fontId="8" fillId="0" borderId="0" xfId="0" applyFont="1"/>
    <xf numFmtId="2" fontId="5" fillId="4" borderId="1" xfId="0" applyNumberFormat="1" applyFont="1" applyFill="1" applyBorder="1" applyAlignment="1" applyProtection="1">
      <alignment vertical="center"/>
      <protection hidden="1"/>
    </xf>
    <xf numFmtId="0" fontId="7" fillId="0" borderId="1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5" fillId="5" borderId="1" xfId="0" applyFont="1" applyFill="1" applyBorder="1" applyAlignment="1" applyProtection="1">
      <alignment horizontal="right" vertical="center"/>
      <protection hidden="1"/>
    </xf>
    <xf numFmtId="0" fontId="14" fillId="4" borderId="1" xfId="0" applyFont="1" applyFill="1" applyBorder="1" applyAlignment="1" applyProtection="1">
      <alignment vertical="center"/>
      <protection hidden="1"/>
    </xf>
    <xf numFmtId="0" fontId="14" fillId="4" borderId="1" xfId="0" applyFont="1" applyFill="1" applyBorder="1" applyAlignment="1" applyProtection="1">
      <alignment horizontal="right" vertical="center"/>
      <protection hidden="1"/>
    </xf>
    <xf numFmtId="0" fontId="14" fillId="5" borderId="1" xfId="0" applyFont="1" applyFill="1" applyBorder="1" applyAlignment="1" applyProtection="1">
      <alignment vertical="center"/>
      <protection locked="0"/>
    </xf>
    <xf numFmtId="0" fontId="15" fillId="5" borderId="1" xfId="0" applyFont="1" applyFill="1" applyBorder="1" applyAlignment="1" applyProtection="1">
      <alignment horizontal="right" vertical="center"/>
    </xf>
    <xf numFmtId="0" fontId="14" fillId="5" borderId="1" xfId="0" applyFont="1" applyFill="1" applyBorder="1" applyAlignment="1" applyProtection="1">
      <alignment horizontal="right" vertical="center"/>
      <protection hidden="1"/>
    </xf>
    <xf numFmtId="0" fontId="14" fillId="0" borderId="1" xfId="0" applyFont="1" applyFill="1" applyBorder="1" applyAlignment="1" applyProtection="1">
      <alignment vertical="center"/>
      <protection locked="0"/>
    </xf>
    <xf numFmtId="0" fontId="14" fillId="5" borderId="1" xfId="0" applyFont="1" applyFill="1" applyBorder="1" applyAlignment="1" applyProtection="1">
      <alignment horizontal="right" vertical="center"/>
    </xf>
    <xf numFmtId="0" fontId="14" fillId="5" borderId="1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vertical="center"/>
    </xf>
    <xf numFmtId="0" fontId="5" fillId="4" borderId="2" xfId="0" applyFont="1" applyFill="1" applyBorder="1" applyAlignment="1" applyProtection="1">
      <alignment horizontal="right" vertical="center"/>
    </xf>
    <xf numFmtId="0" fontId="5" fillId="3" borderId="3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7" fillId="0" borderId="7" xfId="0" applyFont="1" applyFill="1" applyBorder="1" applyAlignment="1" applyProtection="1">
      <alignment vertical="center"/>
      <protection locked="0"/>
    </xf>
    <xf numFmtId="0" fontId="5" fillId="5" borderId="8" xfId="0" applyFont="1" applyFill="1" applyBorder="1" applyAlignment="1" applyProtection="1">
      <alignment horizontal="right" vertical="center"/>
    </xf>
    <xf numFmtId="0" fontId="5" fillId="3" borderId="9" xfId="0" applyFont="1" applyFill="1" applyBorder="1" applyAlignment="1">
      <alignment vertical="center"/>
    </xf>
    <xf numFmtId="0" fontId="7" fillId="4" borderId="11" xfId="0" applyFont="1" applyFill="1" applyBorder="1" applyAlignment="1" applyProtection="1">
      <alignment horizontal="right" vertical="center"/>
      <protection hidden="1"/>
    </xf>
    <xf numFmtId="0" fontId="5" fillId="0" borderId="7" xfId="0" applyFont="1" applyFill="1" applyBorder="1" applyAlignment="1" applyProtection="1">
      <alignment vertical="center"/>
      <protection locked="0"/>
    </xf>
    <xf numFmtId="0" fontId="5" fillId="0" borderId="8" xfId="0" applyFont="1" applyFill="1" applyBorder="1" applyAlignment="1" applyProtection="1">
      <alignment horizontal="right" vertical="center"/>
    </xf>
    <xf numFmtId="0" fontId="5" fillId="3" borderId="12" xfId="0" applyFont="1" applyFill="1" applyBorder="1" applyAlignment="1">
      <alignment vertical="center"/>
    </xf>
    <xf numFmtId="0" fontId="5" fillId="0" borderId="13" xfId="0" applyFont="1" applyFill="1" applyBorder="1" applyAlignment="1" applyProtection="1">
      <alignment horizontal="right" vertical="center"/>
    </xf>
    <xf numFmtId="0" fontId="4" fillId="4" borderId="13" xfId="0" applyFont="1" applyFill="1" applyBorder="1" applyAlignment="1" applyProtection="1">
      <alignment horizontal="right" vertical="center"/>
      <protection hidden="1"/>
    </xf>
    <xf numFmtId="0" fontId="4" fillId="4" borderId="11" xfId="0" applyFont="1" applyFill="1" applyBorder="1" applyAlignment="1" applyProtection="1">
      <alignment horizontal="right" vertical="center"/>
      <protection hidden="1"/>
    </xf>
    <xf numFmtId="0" fontId="14" fillId="5" borderId="3" xfId="0" applyFont="1" applyFill="1" applyBorder="1" applyAlignment="1" applyProtection="1">
      <alignment vertical="center"/>
      <protection locked="0"/>
    </xf>
    <xf numFmtId="0" fontId="15" fillId="5" borderId="3" xfId="0" applyFont="1" applyFill="1" applyBorder="1" applyAlignment="1" applyProtection="1">
      <alignment horizontal="right" vertical="center"/>
    </xf>
    <xf numFmtId="0" fontId="7" fillId="0" borderId="0" xfId="0" applyFont="1"/>
    <xf numFmtId="0" fontId="5" fillId="5" borderId="1" xfId="0" applyFont="1" applyFill="1" applyBorder="1" applyAlignment="1" applyProtection="1">
      <alignment vertical="center"/>
      <protection locked="0"/>
    </xf>
    <xf numFmtId="164" fontId="5" fillId="4" borderId="1" xfId="0" applyNumberFormat="1" applyFont="1" applyFill="1" applyBorder="1" applyAlignment="1" applyProtection="1">
      <alignment vertical="center"/>
      <protection hidden="1"/>
    </xf>
    <xf numFmtId="2" fontId="7" fillId="4" borderId="1" xfId="0" applyNumberFormat="1" applyFont="1" applyFill="1" applyBorder="1" applyAlignment="1" applyProtection="1">
      <alignment vertical="center"/>
      <protection hidden="1"/>
    </xf>
    <xf numFmtId="164" fontId="7" fillId="4" borderId="1" xfId="0" applyNumberFormat="1" applyFont="1" applyFill="1" applyBorder="1" applyAlignment="1" applyProtection="1">
      <alignment vertical="center"/>
      <protection hidden="1"/>
    </xf>
    <xf numFmtId="2" fontId="14" fillId="4" borderId="1" xfId="0" applyNumberFormat="1" applyFont="1" applyFill="1" applyBorder="1" applyAlignment="1" applyProtection="1">
      <alignment vertical="center"/>
      <protection hidden="1"/>
    </xf>
    <xf numFmtId="164" fontId="14" fillId="4" borderId="1" xfId="0" applyNumberFormat="1" applyFont="1" applyFill="1" applyBorder="1" applyAlignment="1" applyProtection="1">
      <alignment vertical="center"/>
      <protection hidden="1"/>
    </xf>
    <xf numFmtId="165" fontId="5" fillId="4" borderId="10" xfId="0" applyNumberFormat="1" applyFont="1" applyFill="1" applyBorder="1" applyAlignment="1" applyProtection="1">
      <alignment vertical="center"/>
      <protection hidden="1"/>
    </xf>
    <xf numFmtId="164" fontId="5" fillId="4" borderId="10" xfId="0" applyNumberFormat="1" applyFont="1" applyFill="1" applyBorder="1" applyAlignment="1" applyProtection="1">
      <alignment vertical="center"/>
      <protection hidden="1"/>
    </xf>
    <xf numFmtId="2" fontId="7" fillId="4" borderId="0" xfId="0" applyNumberFormat="1" applyFont="1" applyFill="1" applyAlignment="1" applyProtection="1">
      <alignment vertical="center"/>
      <protection hidden="1"/>
    </xf>
    <xf numFmtId="164" fontId="7" fillId="4" borderId="2" xfId="0" applyNumberFormat="1" applyFont="1" applyFill="1" applyBorder="1" applyAlignment="1" applyProtection="1">
      <alignment vertical="center"/>
      <protection hidden="1"/>
    </xf>
    <xf numFmtId="2" fontId="7" fillId="4" borderId="10" xfId="0" applyNumberFormat="1" applyFont="1" applyFill="1" applyBorder="1" applyAlignment="1" applyProtection="1">
      <alignment vertical="center"/>
      <protection hidden="1"/>
    </xf>
    <xf numFmtId="164" fontId="7" fillId="4" borderId="10" xfId="0" applyNumberFormat="1" applyFont="1" applyFill="1" applyBorder="1" applyAlignment="1" applyProtection="1">
      <alignment vertical="center"/>
      <protection hidden="1"/>
    </xf>
    <xf numFmtId="166" fontId="7" fillId="4" borderId="1" xfId="0" applyNumberFormat="1" applyFont="1" applyFill="1" applyBorder="1" applyAlignment="1" applyProtection="1">
      <alignment vertical="center"/>
      <protection hidden="1"/>
    </xf>
    <xf numFmtId="0" fontId="5" fillId="6" borderId="1" xfId="0" applyFont="1" applyFill="1" applyBorder="1" applyAlignment="1" applyProtection="1">
      <alignment vertical="center"/>
      <protection hidden="1"/>
    </xf>
    <xf numFmtId="0" fontId="5" fillId="6" borderId="1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0" fontId="14" fillId="0" borderId="2" xfId="0" applyFont="1" applyFill="1" applyBorder="1" applyAlignment="1" applyProtection="1">
      <alignment vertical="center"/>
      <protection locked="0"/>
    </xf>
    <xf numFmtId="0" fontId="14" fillId="5" borderId="2" xfId="0" applyFont="1" applyFill="1" applyBorder="1" applyAlignment="1" applyProtection="1">
      <alignment horizontal="right" vertical="center"/>
    </xf>
    <xf numFmtId="2" fontId="7" fillId="4" borderId="7" xfId="0" applyNumberFormat="1" applyFont="1" applyFill="1" applyBorder="1" applyAlignment="1" applyProtection="1">
      <alignment vertical="center"/>
      <protection hidden="1"/>
    </xf>
    <xf numFmtId="0" fontId="5" fillId="4" borderId="8" xfId="0" applyFont="1" applyFill="1" applyBorder="1" applyAlignment="1" applyProtection="1">
      <alignment horizontal="right" vertical="center"/>
      <protection hidden="1"/>
    </xf>
    <xf numFmtId="0" fontId="5" fillId="5" borderId="13" xfId="0" applyFont="1" applyFill="1" applyBorder="1" applyAlignment="1" applyProtection="1">
      <alignment horizontal="right" vertical="center"/>
      <protection hidden="1"/>
    </xf>
    <xf numFmtId="2" fontId="14" fillId="4" borderId="10" xfId="0" applyNumberFormat="1" applyFont="1" applyFill="1" applyBorder="1" applyAlignment="1" applyProtection="1">
      <alignment vertical="center"/>
      <protection hidden="1"/>
    </xf>
    <xf numFmtId="0" fontId="14" fillId="4" borderId="11" xfId="0" applyFont="1" applyFill="1" applyBorder="1" applyAlignment="1" applyProtection="1">
      <alignment horizontal="right" vertical="center"/>
      <protection hidden="1"/>
    </xf>
    <xf numFmtId="0" fontId="7" fillId="4" borderId="8" xfId="0" applyFont="1" applyFill="1" applyBorder="1" applyAlignment="1" applyProtection="1">
      <alignment horizontal="right" vertical="center"/>
      <protection hidden="1"/>
    </xf>
    <xf numFmtId="0" fontId="14" fillId="5" borderId="13" xfId="0" applyFont="1" applyFill="1" applyBorder="1" applyAlignment="1" applyProtection="1">
      <alignment horizontal="right" vertical="center"/>
      <protection hidden="1"/>
    </xf>
    <xf numFmtId="0" fontId="5" fillId="5" borderId="1" xfId="0" applyFont="1" applyFill="1" applyBorder="1" applyAlignment="1">
      <alignment horizontal="right" vertical="center"/>
    </xf>
    <xf numFmtId="2" fontId="7" fillId="5" borderId="1" xfId="0" applyNumberFormat="1" applyFont="1" applyFill="1" applyBorder="1" applyAlignment="1" applyProtection="1">
      <alignment vertical="center"/>
      <protection locked="0"/>
    </xf>
    <xf numFmtId="0" fontId="5" fillId="5" borderId="1" xfId="0" applyFont="1" applyFill="1" applyBorder="1" applyAlignment="1" applyProtection="1">
      <alignment vertical="center"/>
      <protection locked="0" hidden="1"/>
    </xf>
    <xf numFmtId="0" fontId="7" fillId="5" borderId="1" xfId="0" applyFont="1" applyFill="1" applyBorder="1" applyAlignment="1" applyProtection="1">
      <alignment horizontal="right" vertical="center"/>
    </xf>
    <xf numFmtId="0" fontId="17" fillId="0" borderId="0" xfId="0" applyFont="1"/>
    <xf numFmtId="0" fontId="7" fillId="0" borderId="0" xfId="0" applyFont="1" applyProtection="1">
      <protection hidden="1"/>
    </xf>
    <xf numFmtId="0" fontId="7" fillId="0" borderId="0" xfId="0" applyFont="1" applyFill="1" applyProtection="1">
      <protection hidden="1"/>
    </xf>
    <xf numFmtId="0" fontId="7" fillId="0" borderId="0" xfId="0" quotePrefix="1" applyFont="1" applyFill="1" applyProtection="1">
      <protection hidden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left"/>
    </xf>
    <xf numFmtId="0" fontId="5" fillId="6" borderId="5" xfId="0" applyFont="1" applyFill="1" applyBorder="1" applyAlignment="1">
      <alignment horizontal="left"/>
    </xf>
  </cellXfs>
  <cellStyles count="2">
    <cellStyle name="Normal" xfId="0" builtinId="0"/>
    <cellStyle name="一般 2" xfId="1" xr:uid="{00000000-0005-0000-0000-000001000000}"/>
  </cellStyles>
  <dxfs count="0"/>
  <tableStyles count="0" defaultTableStyle="TableStyleMedium9" defaultPivotStyle="PivotStyleLight16"/>
  <colors>
    <mruColors>
      <color rgb="FFFFCC66"/>
      <color rgb="FF006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69783355221609"/>
          <c:y val="5.1724137931034524E-2"/>
          <c:w val="0.81697597896447838"/>
          <c:h val="0.83103448275862069"/>
        </c:manualLayout>
      </c:layout>
      <c:scatterChart>
        <c:scatterStyle val="smoothMarker"/>
        <c:varyColors val="0"/>
        <c:ser>
          <c:idx val="0"/>
          <c:order val="0"/>
          <c:tx>
            <c:v>Control-to-output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'FAN9673 Design Tool'!$D$163:$D$185</c:f>
              <c:numCache>
                <c:formatCode>General</c:formatCode>
                <c:ptCount val="23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16</c:v>
                </c:pt>
                <c:pt idx="4">
                  <c:v>25</c:v>
                </c:pt>
                <c:pt idx="5">
                  <c:v>40</c:v>
                </c:pt>
                <c:pt idx="6">
                  <c:v>63</c:v>
                </c:pt>
                <c:pt idx="7">
                  <c:v>100</c:v>
                </c:pt>
                <c:pt idx="8">
                  <c:v>160</c:v>
                </c:pt>
                <c:pt idx="9">
                  <c:v>250</c:v>
                </c:pt>
                <c:pt idx="10">
                  <c:v>400</c:v>
                </c:pt>
                <c:pt idx="11">
                  <c:v>630</c:v>
                </c:pt>
                <c:pt idx="12">
                  <c:v>1000</c:v>
                </c:pt>
                <c:pt idx="13">
                  <c:v>1600</c:v>
                </c:pt>
                <c:pt idx="14">
                  <c:v>2500</c:v>
                </c:pt>
                <c:pt idx="15">
                  <c:v>4000</c:v>
                </c:pt>
                <c:pt idx="16">
                  <c:v>6300</c:v>
                </c:pt>
                <c:pt idx="17">
                  <c:v>10000</c:v>
                </c:pt>
                <c:pt idx="18">
                  <c:v>16000</c:v>
                </c:pt>
                <c:pt idx="19">
                  <c:v>25000</c:v>
                </c:pt>
                <c:pt idx="20">
                  <c:v>40000</c:v>
                </c:pt>
                <c:pt idx="21">
                  <c:v>63000</c:v>
                </c:pt>
                <c:pt idx="22">
                  <c:v>100000</c:v>
                </c:pt>
              </c:numCache>
            </c:numRef>
          </c:xVal>
          <c:yVal>
            <c:numRef>
              <c:f>'FAN9673 Design Tool'!$L$163:$L$185</c:f>
              <c:numCache>
                <c:formatCode>General</c:formatCode>
                <c:ptCount val="23"/>
                <c:pt idx="0">
                  <c:v>-15.695092607490107</c:v>
                </c:pt>
                <c:pt idx="1">
                  <c:v>-9.0440059437405189</c:v>
                </c:pt>
                <c:pt idx="2">
                  <c:v>-2.601487945135454</c:v>
                </c:pt>
                <c:pt idx="3">
                  <c:v>2.3165894129522586</c:v>
                </c:pt>
                <c:pt idx="4">
                  <c:v>6.2313781034804698</c:v>
                </c:pt>
                <c:pt idx="5">
                  <c:v>10.487106055177616</c:v>
                </c:pt>
                <c:pt idx="6">
                  <c:v>14.898420606043866</c:v>
                </c:pt>
                <c:pt idx="7">
                  <c:v>20.2376979084192</c:v>
                </c:pt>
                <c:pt idx="8">
                  <c:v>29.161622260995372</c:v>
                </c:pt>
                <c:pt idx="9">
                  <c:v>35.359767664270422</c:v>
                </c:pt>
                <c:pt idx="10">
                  <c:v>22.424253064796105</c:v>
                </c:pt>
                <c:pt idx="11">
                  <c:v>16.578363005252687</c:v>
                </c:pt>
                <c:pt idx="12">
                  <c:v>11.896371122865968</c:v>
                </c:pt>
                <c:pt idx="13">
                  <c:v>7.5595882090236355</c:v>
                </c:pt>
                <c:pt idx="14">
                  <c:v>3.588823825015349</c:v>
                </c:pt>
                <c:pt idx="15">
                  <c:v>-0.53316324876135068</c:v>
                </c:pt>
                <c:pt idx="16">
                  <c:v>-4.4938734689436579</c:v>
                </c:pt>
                <c:pt idx="17">
                  <c:v>-8.5132052340987574</c:v>
                </c:pt>
                <c:pt idx="18">
                  <c:v>-12.598067093553833</c:v>
                </c:pt>
                <c:pt idx="19">
                  <c:v>-16.475399282257062</c:v>
                </c:pt>
                <c:pt idx="20">
                  <c:v>-20.558192781389174</c:v>
                </c:pt>
                <c:pt idx="21">
                  <c:v>-24.503954629658917</c:v>
                </c:pt>
                <c:pt idx="22">
                  <c:v>-28.517205018364216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B9B-4D6F-90CF-DE1C3D222A41}"/>
            </c:ext>
          </c:extLst>
        </c:ser>
        <c:ser>
          <c:idx val="1"/>
          <c:order val="1"/>
          <c:tx>
            <c:v>Compensator</c:v>
          </c:tx>
          <c:spPr>
            <a:ln w="25400">
              <a:solidFill>
                <a:srgbClr val="008080"/>
              </a:solidFill>
              <a:prstDash val="sysDash"/>
            </a:ln>
          </c:spPr>
          <c:marker>
            <c:symbol val="none"/>
          </c:marker>
          <c:xVal>
            <c:numRef>
              <c:f>'FAN9673 Design Tool'!$D$163:$D$185</c:f>
              <c:numCache>
                <c:formatCode>General</c:formatCode>
                <c:ptCount val="23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16</c:v>
                </c:pt>
                <c:pt idx="4">
                  <c:v>25</c:v>
                </c:pt>
                <c:pt idx="5">
                  <c:v>40</c:v>
                </c:pt>
                <c:pt idx="6">
                  <c:v>63</c:v>
                </c:pt>
                <c:pt idx="7">
                  <c:v>100</c:v>
                </c:pt>
                <c:pt idx="8">
                  <c:v>160</c:v>
                </c:pt>
                <c:pt idx="9">
                  <c:v>250</c:v>
                </c:pt>
                <c:pt idx="10">
                  <c:v>400</c:v>
                </c:pt>
                <c:pt idx="11">
                  <c:v>630</c:v>
                </c:pt>
                <c:pt idx="12">
                  <c:v>1000</c:v>
                </c:pt>
                <c:pt idx="13">
                  <c:v>1600</c:v>
                </c:pt>
                <c:pt idx="14">
                  <c:v>2500</c:v>
                </c:pt>
                <c:pt idx="15">
                  <c:v>4000</c:v>
                </c:pt>
                <c:pt idx="16">
                  <c:v>6300</c:v>
                </c:pt>
                <c:pt idx="17">
                  <c:v>10000</c:v>
                </c:pt>
                <c:pt idx="18">
                  <c:v>16000</c:v>
                </c:pt>
                <c:pt idx="19">
                  <c:v>25000</c:v>
                </c:pt>
                <c:pt idx="20">
                  <c:v>40000</c:v>
                </c:pt>
                <c:pt idx="21">
                  <c:v>63000</c:v>
                </c:pt>
                <c:pt idx="22">
                  <c:v>100000</c:v>
                </c:pt>
              </c:numCache>
            </c:numRef>
          </c:xVal>
          <c:yVal>
            <c:numRef>
              <c:f>'FAN9673 Design Tool'!$U$163:$U$185</c:f>
              <c:numCache>
                <c:formatCode>General</c:formatCode>
                <c:ptCount val="23"/>
                <c:pt idx="0">
                  <c:v>69.484101151262735</c:v>
                </c:pt>
                <c:pt idx="1">
                  <c:v>57.442934836606277</c:v>
                </c:pt>
                <c:pt idx="2">
                  <c:v>50.399429689629926</c:v>
                </c:pt>
                <c:pt idx="3">
                  <c:v>45.402271165253332</c:v>
                </c:pt>
                <c:pt idx="4">
                  <c:v>41.526694854201011</c:v>
                </c:pt>
                <c:pt idx="5">
                  <c:v>37.446472235885871</c:v>
                </c:pt>
                <c:pt idx="6">
                  <c:v>33.506146157772505</c:v>
                </c:pt>
                <c:pt idx="7">
                  <c:v>29.50638289800338</c:v>
                </c:pt>
                <c:pt idx="8">
                  <c:v>25.458519073910235</c:v>
                </c:pt>
                <c:pt idx="9">
                  <c:v>21.662730096896045</c:v>
                </c:pt>
                <c:pt idx="10">
                  <c:v>17.786382611154565</c:v>
                </c:pt>
                <c:pt idx="11">
                  <c:v>14.304037428555979</c:v>
                </c:pt>
                <c:pt idx="12">
                  <c:v>11.285814569708803</c:v>
                </c:pt>
                <c:pt idx="13">
                  <c:v>9.0475322931146334</c:v>
                </c:pt>
                <c:pt idx="14">
                  <c:v>7.7626236077685364</c:v>
                </c:pt>
                <c:pt idx="15">
                  <c:v>7.0629742772922999</c:v>
                </c:pt>
                <c:pt idx="16">
                  <c:v>6.7197500794113711</c:v>
                </c:pt>
                <c:pt idx="17">
                  <c:v>6.4632877671438003</c:v>
                </c:pt>
                <c:pt idx="18">
                  <c:v>6.0874154588735765</c:v>
                </c:pt>
                <c:pt idx="19">
                  <c:v>5.3838613466709333</c:v>
                </c:pt>
                <c:pt idx="20">
                  <c:v>3.9607146983061412</c:v>
                </c:pt>
                <c:pt idx="21">
                  <c:v>1.7158797339690024</c:v>
                </c:pt>
                <c:pt idx="22">
                  <c:v>-1.3527804155395737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B9B-4D6F-90CF-DE1C3D222A41}"/>
            </c:ext>
          </c:extLst>
        </c:ser>
        <c:ser>
          <c:idx val="2"/>
          <c:order val="2"/>
          <c:tx>
            <c:v>T (Closed loop gain)</c:v>
          </c:tx>
          <c:spPr>
            <a:ln w="508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'FAN9673 Design Tool'!$D$163:$D$185</c:f>
              <c:numCache>
                <c:formatCode>General</c:formatCode>
                <c:ptCount val="23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16</c:v>
                </c:pt>
                <c:pt idx="4">
                  <c:v>25</c:v>
                </c:pt>
                <c:pt idx="5">
                  <c:v>40</c:v>
                </c:pt>
                <c:pt idx="6">
                  <c:v>63</c:v>
                </c:pt>
                <c:pt idx="7">
                  <c:v>100</c:v>
                </c:pt>
                <c:pt idx="8">
                  <c:v>160</c:v>
                </c:pt>
                <c:pt idx="9">
                  <c:v>250</c:v>
                </c:pt>
                <c:pt idx="10">
                  <c:v>400</c:v>
                </c:pt>
                <c:pt idx="11">
                  <c:v>630</c:v>
                </c:pt>
                <c:pt idx="12">
                  <c:v>1000</c:v>
                </c:pt>
                <c:pt idx="13">
                  <c:v>1600</c:v>
                </c:pt>
                <c:pt idx="14">
                  <c:v>2500</c:v>
                </c:pt>
                <c:pt idx="15">
                  <c:v>4000</c:v>
                </c:pt>
                <c:pt idx="16">
                  <c:v>6300</c:v>
                </c:pt>
                <c:pt idx="17">
                  <c:v>10000</c:v>
                </c:pt>
                <c:pt idx="18">
                  <c:v>16000</c:v>
                </c:pt>
                <c:pt idx="19">
                  <c:v>25000</c:v>
                </c:pt>
                <c:pt idx="20">
                  <c:v>40000</c:v>
                </c:pt>
                <c:pt idx="21">
                  <c:v>63000</c:v>
                </c:pt>
                <c:pt idx="22">
                  <c:v>100000</c:v>
                </c:pt>
              </c:numCache>
            </c:numRef>
          </c:xVal>
          <c:yVal>
            <c:numRef>
              <c:f>'FAN9673 Design Tool'!$W$163:$W$185</c:f>
              <c:numCache>
                <c:formatCode>General</c:formatCode>
                <c:ptCount val="23"/>
                <c:pt idx="0">
                  <c:v>53.789008543772631</c:v>
                </c:pt>
                <c:pt idx="1">
                  <c:v>48.398928892865754</c:v>
                </c:pt>
                <c:pt idx="2">
                  <c:v>47.79794174449448</c:v>
                </c:pt>
                <c:pt idx="3">
                  <c:v>47.7188605782056</c:v>
                </c:pt>
                <c:pt idx="4">
                  <c:v>47.758072957681492</c:v>
                </c:pt>
                <c:pt idx="5">
                  <c:v>47.933578291063498</c:v>
                </c:pt>
                <c:pt idx="6">
                  <c:v>48.404566763816376</c:v>
                </c:pt>
                <c:pt idx="7">
                  <c:v>49.744080806422566</c:v>
                </c:pt>
                <c:pt idx="8">
                  <c:v>54.620141334905611</c:v>
                </c:pt>
                <c:pt idx="9">
                  <c:v>57.022497761166477</c:v>
                </c:pt>
                <c:pt idx="10">
                  <c:v>40.21063567595067</c:v>
                </c:pt>
                <c:pt idx="11">
                  <c:v>30.882400433808677</c:v>
                </c:pt>
                <c:pt idx="12">
                  <c:v>23.182185692574791</c:v>
                </c:pt>
                <c:pt idx="13">
                  <c:v>16.607120502138269</c:v>
                </c:pt>
                <c:pt idx="14">
                  <c:v>11.351447432783885</c:v>
                </c:pt>
                <c:pt idx="15">
                  <c:v>6.5298110285309443</c:v>
                </c:pt>
                <c:pt idx="16">
                  <c:v>2.2258766104676977</c:v>
                </c:pt>
                <c:pt idx="17">
                  <c:v>-2.049917466954958</c:v>
                </c:pt>
                <c:pt idx="18">
                  <c:v>-6.5106516346802561</c:v>
                </c:pt>
                <c:pt idx="19">
                  <c:v>-11.091537935586135</c:v>
                </c:pt>
                <c:pt idx="20">
                  <c:v>-16.597478083083061</c:v>
                </c:pt>
                <c:pt idx="21">
                  <c:v>-22.788074895689917</c:v>
                </c:pt>
                <c:pt idx="22">
                  <c:v>-29.869985433903786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B9B-4D6F-90CF-DE1C3D222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036680"/>
        <c:axId val="197037072"/>
      </c:scatterChart>
      <c:valAx>
        <c:axId val="197036680"/>
        <c:scaling>
          <c:logBase val="10"/>
          <c:orientation val="minMax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돋움"/>
                    <a:ea typeface="돋움"/>
                    <a:cs typeface="돋움"/>
                  </a:defRPr>
                </a:pPr>
                <a:r>
                  <a:rPr lang="en-US" altLang="en-US"/>
                  <a:t>frequency (Hz)</a:t>
                </a:r>
              </a:p>
            </c:rich>
          </c:tx>
          <c:layout>
            <c:manualLayout>
              <c:xMode val="edge"/>
              <c:yMode val="edge"/>
              <c:x val="0.44284474809146435"/>
              <c:y val="0.94583394303302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돋움"/>
                <a:ea typeface="돋움"/>
                <a:cs typeface="돋움"/>
              </a:defRPr>
            </a:pPr>
            <a:endParaRPr lang="en-US"/>
          </a:p>
        </c:txPr>
        <c:crossAx val="197037072"/>
        <c:crosses val="autoZero"/>
        <c:crossBetween val="midCat"/>
        <c:minorUnit val="10"/>
      </c:valAx>
      <c:valAx>
        <c:axId val="197037072"/>
        <c:scaling>
          <c:orientation val="minMax"/>
          <c:max val="100"/>
          <c:min val="-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돋움"/>
                    <a:ea typeface="돋움"/>
                    <a:cs typeface="돋움"/>
                  </a:defRPr>
                </a:pPr>
                <a:r>
                  <a:rPr lang="en-US" altLang="en-US"/>
                  <a:t>Gain (dB)</a:t>
                </a:r>
              </a:p>
            </c:rich>
          </c:tx>
          <c:layout>
            <c:manualLayout>
              <c:xMode val="edge"/>
              <c:yMode val="edge"/>
              <c:x val="2.0467865479751629E-2"/>
              <c:y val="0.344827586206899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돋움"/>
                <a:ea typeface="돋움"/>
                <a:cs typeface="돋움"/>
              </a:defRPr>
            </a:pPr>
            <a:endParaRPr lang="en-US"/>
          </a:p>
        </c:txPr>
        <c:crossAx val="197036680"/>
        <c:crosses val="autoZero"/>
        <c:crossBetween val="midCat"/>
        <c:minorUnit val="20"/>
      </c:valAx>
    </c:plotArea>
    <c:legend>
      <c:legendPos val="r"/>
      <c:layout>
        <c:manualLayout>
          <c:xMode val="edge"/>
          <c:yMode val="edge"/>
          <c:x val="0.68738974679829679"/>
          <c:y val="3.6072538370664292E-2"/>
          <c:w val="0.27631618397664942"/>
          <c:h val="0.2758620689655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돋움"/>
              <a:ea typeface="돋움"/>
              <a:cs typeface="돋움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돋움"/>
          <a:ea typeface="돋움"/>
          <a:cs typeface="돋움"/>
        </a:defRPr>
      </a:pPr>
      <a:endParaRPr lang="en-US"/>
    </a:p>
  </c:txPr>
  <c:printSettings>
    <c:headerFooter alignWithMargins="0"/>
    <c:pageMargins b="1" l="0.75000000000000533" r="0.75000000000000533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35048318880992"/>
          <c:y val="6.3909774436090222E-2"/>
          <c:w val="0.82260698231458806"/>
          <c:h val="0.82128840980526119"/>
        </c:manualLayout>
      </c:layout>
      <c:scatterChart>
        <c:scatterStyle val="smoothMarker"/>
        <c:varyColors val="0"/>
        <c:ser>
          <c:idx val="0"/>
          <c:order val="0"/>
          <c:tx>
            <c:v>Control-to-output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'FAN9673 Design Tool'!$D$163:$D$185</c:f>
              <c:numCache>
                <c:formatCode>General</c:formatCode>
                <c:ptCount val="23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16</c:v>
                </c:pt>
                <c:pt idx="4">
                  <c:v>25</c:v>
                </c:pt>
                <c:pt idx="5">
                  <c:v>40</c:v>
                </c:pt>
                <c:pt idx="6">
                  <c:v>63</c:v>
                </c:pt>
                <c:pt idx="7">
                  <c:v>100</c:v>
                </c:pt>
                <c:pt idx="8">
                  <c:v>160</c:v>
                </c:pt>
                <c:pt idx="9">
                  <c:v>250</c:v>
                </c:pt>
                <c:pt idx="10">
                  <c:v>400</c:v>
                </c:pt>
                <c:pt idx="11">
                  <c:v>630</c:v>
                </c:pt>
                <c:pt idx="12">
                  <c:v>1000</c:v>
                </c:pt>
                <c:pt idx="13">
                  <c:v>1600</c:v>
                </c:pt>
                <c:pt idx="14">
                  <c:v>2500</c:v>
                </c:pt>
                <c:pt idx="15">
                  <c:v>4000</c:v>
                </c:pt>
                <c:pt idx="16">
                  <c:v>6300</c:v>
                </c:pt>
                <c:pt idx="17">
                  <c:v>10000</c:v>
                </c:pt>
                <c:pt idx="18">
                  <c:v>16000</c:v>
                </c:pt>
                <c:pt idx="19">
                  <c:v>25000</c:v>
                </c:pt>
                <c:pt idx="20">
                  <c:v>40000</c:v>
                </c:pt>
                <c:pt idx="21">
                  <c:v>63000</c:v>
                </c:pt>
                <c:pt idx="22">
                  <c:v>100000</c:v>
                </c:pt>
              </c:numCache>
            </c:numRef>
          </c:xVal>
          <c:yVal>
            <c:numRef>
              <c:f>'FAN9673 Design Tool'!$M$163:$M$185</c:f>
              <c:numCache>
                <c:formatCode>General</c:formatCode>
                <c:ptCount val="23"/>
                <c:pt idx="0">
                  <c:v>29.430989758745039</c:v>
                </c:pt>
                <c:pt idx="1">
                  <c:v>66.097583819984692</c:v>
                </c:pt>
                <c:pt idx="2">
                  <c:v>78.849315141204812</c:v>
                </c:pt>
                <c:pt idx="3">
                  <c:v>83.661290008294813</c:v>
                </c:pt>
                <c:pt idx="4">
                  <c:v>85.917090634288641</c:v>
                </c:pt>
                <c:pt idx="5">
                  <c:v>87.417661869960924</c:v>
                </c:pt>
                <c:pt idx="6">
                  <c:v>88.313302210714909</c:v>
                </c:pt>
                <c:pt idx="7">
                  <c:v>88.845498414630541</c:v>
                </c:pt>
                <c:pt idx="8">
                  <c:v>88.976671938621536</c:v>
                </c:pt>
                <c:pt idx="9">
                  <c:v>-89.612770033608768</c:v>
                </c:pt>
                <c:pt idx="10">
                  <c:v>-90.074928092709641</c:v>
                </c:pt>
                <c:pt idx="11">
                  <c:v>-90.069899307363983</c:v>
                </c:pt>
                <c:pt idx="12">
                  <c:v>-90.048298904077114</c:v>
                </c:pt>
                <c:pt idx="13">
                  <c:v>-90.031147428533544</c:v>
                </c:pt>
                <c:pt idx="14">
                  <c:v>-90.020157873248152</c:v>
                </c:pt>
                <c:pt idx="15">
                  <c:v>-90.012656826929586</c:v>
                </c:pt>
                <c:pt idx="16">
                  <c:v>-90.008050119725127</c:v>
                </c:pt>
                <c:pt idx="17">
                  <c:v>-90.005075169303296</c:v>
                </c:pt>
                <c:pt idx="18">
                  <c:v>-90.003172880704398</c:v>
                </c:pt>
                <c:pt idx="19">
                  <c:v>-90.00203086153283</c:v>
                </c:pt>
                <c:pt idx="20">
                  <c:v>-90.001269346019683</c:v>
                </c:pt>
                <c:pt idx="21">
                  <c:v>-90.000805947963258</c:v>
                </c:pt>
                <c:pt idx="22">
                  <c:v>-90.000507750804886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B71-483E-875A-2AE587F8C765}"/>
            </c:ext>
          </c:extLst>
        </c:ser>
        <c:ser>
          <c:idx val="1"/>
          <c:order val="1"/>
          <c:tx>
            <c:v>Compensator</c:v>
          </c:tx>
          <c:spPr>
            <a:ln w="25400">
              <a:solidFill>
                <a:srgbClr val="008080"/>
              </a:solidFill>
              <a:prstDash val="sysDash"/>
            </a:ln>
          </c:spPr>
          <c:marker>
            <c:symbol val="none"/>
          </c:marker>
          <c:xVal>
            <c:numRef>
              <c:f>'FAN9673 Design Tool'!$D$163:$D$185</c:f>
              <c:numCache>
                <c:formatCode>General</c:formatCode>
                <c:ptCount val="23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16</c:v>
                </c:pt>
                <c:pt idx="4">
                  <c:v>25</c:v>
                </c:pt>
                <c:pt idx="5">
                  <c:v>40</c:v>
                </c:pt>
                <c:pt idx="6">
                  <c:v>63</c:v>
                </c:pt>
                <c:pt idx="7">
                  <c:v>100</c:v>
                </c:pt>
                <c:pt idx="8">
                  <c:v>160</c:v>
                </c:pt>
                <c:pt idx="9">
                  <c:v>250</c:v>
                </c:pt>
                <c:pt idx="10">
                  <c:v>400</c:v>
                </c:pt>
                <c:pt idx="11">
                  <c:v>630</c:v>
                </c:pt>
                <c:pt idx="12">
                  <c:v>1000</c:v>
                </c:pt>
                <c:pt idx="13">
                  <c:v>1600</c:v>
                </c:pt>
                <c:pt idx="14">
                  <c:v>2500</c:v>
                </c:pt>
                <c:pt idx="15">
                  <c:v>4000</c:v>
                </c:pt>
                <c:pt idx="16">
                  <c:v>6300</c:v>
                </c:pt>
                <c:pt idx="17">
                  <c:v>10000</c:v>
                </c:pt>
                <c:pt idx="18">
                  <c:v>16000</c:v>
                </c:pt>
                <c:pt idx="19">
                  <c:v>25000</c:v>
                </c:pt>
                <c:pt idx="20">
                  <c:v>40000</c:v>
                </c:pt>
                <c:pt idx="21">
                  <c:v>63000</c:v>
                </c:pt>
                <c:pt idx="22">
                  <c:v>100000</c:v>
                </c:pt>
              </c:numCache>
            </c:numRef>
          </c:xVal>
          <c:yVal>
            <c:numRef>
              <c:f>'FAN9673 Design Tool'!$V$163:$V$185</c:f>
              <c:numCache>
                <c:formatCode>General</c:formatCode>
                <c:ptCount val="23"/>
                <c:pt idx="0">
                  <c:v>-89.960196607057313</c:v>
                </c:pt>
                <c:pt idx="1">
                  <c:v>-89.840786851665669</c:v>
                </c:pt>
                <c:pt idx="2">
                  <c:v>-89.641774544651</c:v>
                </c:pt>
                <c:pt idx="3">
                  <c:v>-89.363174504459778</c:v>
                </c:pt>
                <c:pt idx="4">
                  <c:v>-89.005025249195327</c:v>
                </c:pt>
                <c:pt idx="5">
                  <c:v>-88.408315444746947</c:v>
                </c:pt>
                <c:pt idx="6">
                  <c:v>-87.494148298520599</c:v>
                </c:pt>
                <c:pt idx="7">
                  <c:v>-86.026695585109124</c:v>
                </c:pt>
                <c:pt idx="8">
                  <c:v>-83.660136226573215</c:v>
                </c:pt>
                <c:pt idx="9">
                  <c:v>-80.157338770103962</c:v>
                </c:pt>
                <c:pt idx="10">
                  <c:v>-74.509213945387927</c:v>
                </c:pt>
                <c:pt idx="11">
                  <c:v>-66.499395965697573</c:v>
                </c:pt>
                <c:pt idx="12">
                  <c:v>-55.648650747843668</c:v>
                </c:pt>
                <c:pt idx="13">
                  <c:v>-43.152999325547746</c:v>
                </c:pt>
                <c:pt idx="14">
                  <c:v>-32.412724276579503</c:v>
                </c:pt>
                <c:pt idx="15">
                  <c:v>-24.441619860190421</c:v>
                </c:pt>
                <c:pt idx="16">
                  <c:v>-20.68291369896609</c:v>
                </c:pt>
                <c:pt idx="17">
                  <c:v>-20.83278249933343</c:v>
                </c:pt>
                <c:pt idx="18">
                  <c:v>-25.102267807814261</c:v>
                </c:pt>
                <c:pt idx="19">
                  <c:v>-32.983953448645686</c:v>
                </c:pt>
                <c:pt idx="20">
                  <c:v>-44.487714757105728</c:v>
                </c:pt>
                <c:pt idx="21">
                  <c:v>-56.542173441682166</c:v>
                </c:pt>
                <c:pt idx="22">
                  <c:v>-67.210419572020058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B71-483E-875A-2AE587F8C765}"/>
            </c:ext>
          </c:extLst>
        </c:ser>
        <c:ser>
          <c:idx val="2"/>
          <c:order val="2"/>
          <c:tx>
            <c:v>T (Closed loop gain)</c:v>
          </c:tx>
          <c:spPr>
            <a:ln w="508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'FAN9673 Design Tool'!$D$163:$D$185</c:f>
              <c:numCache>
                <c:formatCode>General</c:formatCode>
                <c:ptCount val="23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16</c:v>
                </c:pt>
                <c:pt idx="4">
                  <c:v>25</c:v>
                </c:pt>
                <c:pt idx="5">
                  <c:v>40</c:v>
                </c:pt>
                <c:pt idx="6">
                  <c:v>63</c:v>
                </c:pt>
                <c:pt idx="7">
                  <c:v>100</c:v>
                </c:pt>
                <c:pt idx="8">
                  <c:v>160</c:v>
                </c:pt>
                <c:pt idx="9">
                  <c:v>250</c:v>
                </c:pt>
                <c:pt idx="10">
                  <c:v>400</c:v>
                </c:pt>
                <c:pt idx="11">
                  <c:v>630</c:v>
                </c:pt>
                <c:pt idx="12">
                  <c:v>1000</c:v>
                </c:pt>
                <c:pt idx="13">
                  <c:v>1600</c:v>
                </c:pt>
                <c:pt idx="14">
                  <c:v>2500</c:v>
                </c:pt>
                <c:pt idx="15">
                  <c:v>4000</c:v>
                </c:pt>
                <c:pt idx="16">
                  <c:v>6300</c:v>
                </c:pt>
                <c:pt idx="17">
                  <c:v>10000</c:v>
                </c:pt>
                <c:pt idx="18">
                  <c:v>16000</c:v>
                </c:pt>
                <c:pt idx="19">
                  <c:v>25000</c:v>
                </c:pt>
                <c:pt idx="20">
                  <c:v>40000</c:v>
                </c:pt>
                <c:pt idx="21">
                  <c:v>63000</c:v>
                </c:pt>
                <c:pt idx="22">
                  <c:v>100000</c:v>
                </c:pt>
              </c:numCache>
            </c:numRef>
          </c:xVal>
          <c:yVal>
            <c:numRef>
              <c:f>'FAN9673 Design Tool'!$X$163:$X$185</c:f>
              <c:numCache>
                <c:formatCode>General</c:formatCode>
                <c:ptCount val="23"/>
                <c:pt idx="0">
                  <c:v>-60.529206848312299</c:v>
                </c:pt>
                <c:pt idx="1">
                  <c:v>-23.743203031680906</c:v>
                </c:pt>
                <c:pt idx="2">
                  <c:v>-10.792459403446195</c:v>
                </c:pt>
                <c:pt idx="3">
                  <c:v>-5.7018844961649569</c:v>
                </c:pt>
                <c:pt idx="4">
                  <c:v>-3.0879346149066751</c:v>
                </c:pt>
                <c:pt idx="5">
                  <c:v>-0.99065357478599581</c:v>
                </c:pt>
                <c:pt idx="6">
                  <c:v>0.81915391219428191</c:v>
                </c:pt>
                <c:pt idx="7">
                  <c:v>2.818802829521434</c:v>
                </c:pt>
                <c:pt idx="8">
                  <c:v>5.316535712048319</c:v>
                </c:pt>
                <c:pt idx="9">
                  <c:v>-169.77010880371276</c:v>
                </c:pt>
                <c:pt idx="10">
                  <c:v>-164.58414203809758</c:v>
                </c:pt>
                <c:pt idx="11">
                  <c:v>-156.56929527306158</c:v>
                </c:pt>
                <c:pt idx="12">
                  <c:v>-145.69694965192087</c:v>
                </c:pt>
                <c:pt idx="13">
                  <c:v>-133.1841467540813</c:v>
                </c:pt>
                <c:pt idx="14">
                  <c:v>-122.43288214982759</c:v>
                </c:pt>
                <c:pt idx="15">
                  <c:v>-114.45427668712001</c:v>
                </c:pt>
                <c:pt idx="16">
                  <c:v>-110.69096381869126</c:v>
                </c:pt>
                <c:pt idx="17">
                  <c:v>-110.83785766863673</c:v>
                </c:pt>
                <c:pt idx="18">
                  <c:v>-115.10544068851864</c:v>
                </c:pt>
                <c:pt idx="19">
                  <c:v>-122.98598431017861</c:v>
                </c:pt>
                <c:pt idx="20">
                  <c:v>-134.48898410312543</c:v>
                </c:pt>
                <c:pt idx="21">
                  <c:v>-146.54297938964544</c:v>
                </c:pt>
                <c:pt idx="22">
                  <c:v>-157.21092732282489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B71-483E-875A-2AE587F8C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037856"/>
        <c:axId val="197038248"/>
      </c:scatterChart>
      <c:valAx>
        <c:axId val="197037856"/>
        <c:scaling>
          <c:logBase val="10"/>
          <c:orientation val="minMax"/>
          <c:max val="100000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돋움"/>
                    <a:ea typeface="돋움"/>
                    <a:cs typeface="돋움"/>
                  </a:defRPr>
                </a:pPr>
                <a:r>
                  <a:rPr lang="en-US" altLang="en-US"/>
                  <a:t>frequency (Hz)</a:t>
                </a:r>
              </a:p>
            </c:rich>
          </c:tx>
          <c:layout>
            <c:manualLayout>
              <c:xMode val="edge"/>
              <c:yMode val="edge"/>
              <c:x val="0.46627590937551688"/>
              <c:y val="0.948097776818856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돋움"/>
                <a:ea typeface="돋움"/>
                <a:cs typeface="돋움"/>
              </a:defRPr>
            </a:pPr>
            <a:endParaRPr lang="en-US"/>
          </a:p>
        </c:txPr>
        <c:crossAx val="197038248"/>
        <c:crosses val="autoZero"/>
        <c:crossBetween val="midCat"/>
        <c:majorUnit val="10"/>
        <c:minorUnit val="10"/>
      </c:valAx>
      <c:valAx>
        <c:axId val="197038248"/>
        <c:scaling>
          <c:orientation val="minMax"/>
          <c:min val="-1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돋움"/>
                    <a:ea typeface="돋움"/>
                    <a:cs typeface="돋움"/>
                  </a:defRPr>
                </a:pPr>
                <a:r>
                  <a:rPr lang="en-US" altLang="en-US"/>
                  <a:t>Phase (degree)</a:t>
                </a:r>
              </a:p>
            </c:rich>
          </c:tx>
          <c:layout>
            <c:manualLayout>
              <c:xMode val="edge"/>
              <c:yMode val="edge"/>
              <c:x val="2.0527873934568827E-2"/>
              <c:y val="0.308270676691729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돋움"/>
                <a:ea typeface="돋움"/>
                <a:cs typeface="돋움"/>
              </a:defRPr>
            </a:pPr>
            <a:endParaRPr lang="en-US"/>
          </a:p>
        </c:txPr>
        <c:crossAx val="197037856"/>
        <c:crosses val="autoZero"/>
        <c:crossBetween val="midCat"/>
        <c:majorUnit val="30"/>
        <c:minorUnit val="3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돋움"/>
          <a:ea typeface="돋움"/>
          <a:cs typeface="돋움"/>
        </a:defRPr>
      </a:pPr>
      <a:endParaRPr lang="en-US"/>
    </a:p>
  </c:txPr>
  <c:printSettings>
    <c:headerFooter alignWithMargins="0"/>
    <c:pageMargins b="1" l="0.75000000000000533" r="0.75000000000000533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69783355221609"/>
          <c:y val="7.0636670298270032E-2"/>
          <c:w val="0.81697597896447871"/>
          <c:h val="0.81212200995841621"/>
        </c:manualLayout>
      </c:layout>
      <c:scatterChart>
        <c:scatterStyle val="smoothMarker"/>
        <c:varyColors val="0"/>
        <c:ser>
          <c:idx val="0"/>
          <c:order val="0"/>
          <c:tx>
            <c:v>Control-to-output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'FAN9673 Design Tool'!$D$189:$D$203</c:f>
              <c:numCache>
                <c:formatCode>General</c:formatCode>
                <c:ptCount val="15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16</c:v>
                </c:pt>
                <c:pt idx="4">
                  <c:v>25</c:v>
                </c:pt>
                <c:pt idx="5">
                  <c:v>40</c:v>
                </c:pt>
                <c:pt idx="6">
                  <c:v>63</c:v>
                </c:pt>
                <c:pt idx="7">
                  <c:v>100</c:v>
                </c:pt>
                <c:pt idx="8">
                  <c:v>160</c:v>
                </c:pt>
                <c:pt idx="9">
                  <c:v>250</c:v>
                </c:pt>
                <c:pt idx="10">
                  <c:v>400</c:v>
                </c:pt>
                <c:pt idx="11">
                  <c:v>630</c:v>
                </c:pt>
                <c:pt idx="12">
                  <c:v>1000</c:v>
                </c:pt>
                <c:pt idx="13">
                  <c:v>1600</c:v>
                </c:pt>
                <c:pt idx="14">
                  <c:v>2500</c:v>
                </c:pt>
              </c:numCache>
            </c:numRef>
          </c:xVal>
          <c:yVal>
            <c:numRef>
              <c:f>'FAN9673 Design Tool'!$G$189:$G$203</c:f>
              <c:numCache>
                <c:formatCode>General</c:formatCode>
                <c:ptCount val="15"/>
                <c:pt idx="0">
                  <c:v>4.3102885477306794</c:v>
                </c:pt>
                <c:pt idx="1">
                  <c:v>-7.7309112788285796</c:v>
                </c:pt>
                <c:pt idx="2">
                  <c:v>-14.77456164105584</c:v>
                </c:pt>
                <c:pt idx="3">
                  <c:v>-19.772111105387808</c:v>
                </c:pt>
                <c:pt idx="4">
                  <c:v>-23.648511625710086</c:v>
                </c:pt>
                <c:pt idx="5">
                  <c:v>-27.730911278828579</c:v>
                </c:pt>
                <c:pt idx="6">
                  <c:v>-31.67652244134095</c:v>
                </c:pt>
                <c:pt idx="7">
                  <c:v>-35.689711452269322</c:v>
                </c:pt>
                <c:pt idx="8">
                  <c:v>-39.772111105387808</c:v>
                </c:pt>
                <c:pt idx="9">
                  <c:v>-43.648511625710086</c:v>
                </c:pt>
                <c:pt idx="10">
                  <c:v>-47.730911278828579</c:v>
                </c:pt>
                <c:pt idx="11">
                  <c:v>-51.676522441340957</c:v>
                </c:pt>
                <c:pt idx="12">
                  <c:v>-55.689711452269322</c:v>
                </c:pt>
                <c:pt idx="13">
                  <c:v>-59.772111105387808</c:v>
                </c:pt>
                <c:pt idx="14">
                  <c:v>-63.648511625710086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453-4D22-8F20-B2E347037847}"/>
            </c:ext>
          </c:extLst>
        </c:ser>
        <c:ser>
          <c:idx val="1"/>
          <c:order val="1"/>
          <c:tx>
            <c:v>Compensator</c:v>
          </c:tx>
          <c:spPr>
            <a:ln w="25400">
              <a:solidFill>
                <a:srgbClr val="008080"/>
              </a:solidFill>
              <a:prstDash val="sysDash"/>
            </a:ln>
          </c:spPr>
          <c:marker>
            <c:symbol val="none"/>
          </c:marker>
          <c:xVal>
            <c:numRef>
              <c:f>'FAN9673 Design Tool'!$D$189:$D$203</c:f>
              <c:numCache>
                <c:formatCode>General</c:formatCode>
                <c:ptCount val="15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16</c:v>
                </c:pt>
                <c:pt idx="4">
                  <c:v>25</c:v>
                </c:pt>
                <c:pt idx="5">
                  <c:v>40</c:v>
                </c:pt>
                <c:pt idx="6">
                  <c:v>63</c:v>
                </c:pt>
                <c:pt idx="7">
                  <c:v>100</c:v>
                </c:pt>
                <c:pt idx="8">
                  <c:v>160</c:v>
                </c:pt>
                <c:pt idx="9">
                  <c:v>250</c:v>
                </c:pt>
                <c:pt idx="10">
                  <c:v>400</c:v>
                </c:pt>
                <c:pt idx="11">
                  <c:v>630</c:v>
                </c:pt>
                <c:pt idx="12">
                  <c:v>1000</c:v>
                </c:pt>
                <c:pt idx="13">
                  <c:v>1600</c:v>
                </c:pt>
                <c:pt idx="14">
                  <c:v>2500</c:v>
                </c:pt>
              </c:numCache>
            </c:numRef>
          </c:xVal>
          <c:yVal>
            <c:numRef>
              <c:f>'FAN9673 Design Tool'!$P$189:$P$203</c:f>
              <c:numCache>
                <c:formatCode>General</c:formatCode>
                <c:ptCount val="15"/>
                <c:pt idx="0">
                  <c:v>44.299099688018615</c:v>
                </c:pt>
                <c:pt idx="1">
                  <c:v>32.418344908784753</c:v>
                </c:pt>
                <c:pt idx="2">
                  <c:v>26.007464826466204</c:v>
                </c:pt>
                <c:pt idx="3">
                  <c:v>22.354301893379262</c:v>
                </c:pt>
                <c:pt idx="4">
                  <c:v>20.391626799102799</c:v>
                </c:pt>
                <c:pt idx="5">
                  <c:v>19.121267736361613</c:v>
                </c:pt>
                <c:pt idx="6">
                  <c:v>18.332650560293505</c:v>
                </c:pt>
                <c:pt idx="7">
                  <c:v>17.523587357437997</c:v>
                </c:pt>
                <c:pt idx="8">
                  <c:v>16.229151424393358</c:v>
                </c:pt>
                <c:pt idx="9">
                  <c:v>14.236160363482796</c:v>
                </c:pt>
                <c:pt idx="10">
                  <c:v>11.302858840681399</c:v>
                </c:pt>
                <c:pt idx="11">
                  <c:v>7.8952113811366917</c:v>
                </c:pt>
                <c:pt idx="12">
                  <c:v>4.1223079235861722</c:v>
                </c:pt>
                <c:pt idx="13">
                  <c:v>0.14021801060866387</c:v>
                </c:pt>
                <c:pt idx="14">
                  <c:v>-3.6975936896595356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453-4D22-8F20-B2E347037847}"/>
            </c:ext>
          </c:extLst>
        </c:ser>
        <c:ser>
          <c:idx val="2"/>
          <c:order val="2"/>
          <c:tx>
            <c:v>T (Closed loop gain)</c:v>
          </c:tx>
          <c:spPr>
            <a:ln w="508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'FAN9673 Design Tool'!$D$189:$D$203</c:f>
              <c:numCache>
                <c:formatCode>General</c:formatCode>
                <c:ptCount val="15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16</c:v>
                </c:pt>
                <c:pt idx="4">
                  <c:v>25</c:v>
                </c:pt>
                <c:pt idx="5">
                  <c:v>40</c:v>
                </c:pt>
                <c:pt idx="6">
                  <c:v>63</c:v>
                </c:pt>
                <c:pt idx="7">
                  <c:v>100</c:v>
                </c:pt>
                <c:pt idx="8">
                  <c:v>160</c:v>
                </c:pt>
                <c:pt idx="9">
                  <c:v>250</c:v>
                </c:pt>
                <c:pt idx="10">
                  <c:v>400</c:v>
                </c:pt>
                <c:pt idx="11">
                  <c:v>630</c:v>
                </c:pt>
                <c:pt idx="12">
                  <c:v>1000</c:v>
                </c:pt>
                <c:pt idx="13">
                  <c:v>1600</c:v>
                </c:pt>
                <c:pt idx="14">
                  <c:v>2500</c:v>
                </c:pt>
              </c:numCache>
            </c:numRef>
          </c:xVal>
          <c:yVal>
            <c:numRef>
              <c:f>'FAN9673 Design Tool'!$R$189:$R$203</c:f>
              <c:numCache>
                <c:formatCode>General</c:formatCode>
                <c:ptCount val="15"/>
                <c:pt idx="0">
                  <c:v>48.6093882357493</c:v>
                </c:pt>
                <c:pt idx="1">
                  <c:v>24.687433629956153</c:v>
                </c:pt>
                <c:pt idx="2">
                  <c:v>11.232903185410368</c:v>
                </c:pt>
                <c:pt idx="3">
                  <c:v>2.5821907879914772</c:v>
                </c:pt>
                <c:pt idx="4">
                  <c:v>-3.2568848266072896</c:v>
                </c:pt>
                <c:pt idx="5">
                  <c:v>-8.6096435424669586</c:v>
                </c:pt>
                <c:pt idx="6">
                  <c:v>-13.343871881047448</c:v>
                </c:pt>
                <c:pt idx="7">
                  <c:v>-18.166124094831325</c:v>
                </c:pt>
                <c:pt idx="8">
                  <c:v>-23.542959680994443</c:v>
                </c:pt>
                <c:pt idx="9">
                  <c:v>-29.412351262227297</c:v>
                </c:pt>
                <c:pt idx="10">
                  <c:v>-36.428052438147169</c:v>
                </c:pt>
                <c:pt idx="11">
                  <c:v>-43.781311060204253</c:v>
                </c:pt>
                <c:pt idx="12">
                  <c:v>-51.56740352868313</c:v>
                </c:pt>
                <c:pt idx="13">
                  <c:v>-59.631893094779109</c:v>
                </c:pt>
                <c:pt idx="14">
                  <c:v>-67.346105315369613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453-4D22-8F20-B2E347037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375464"/>
        <c:axId val="198028920"/>
      </c:scatterChart>
      <c:valAx>
        <c:axId val="196375464"/>
        <c:scaling>
          <c:logBase val="10"/>
          <c:orientation val="minMax"/>
          <c:max val="1000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돋움"/>
                    <a:ea typeface="돋움"/>
                    <a:cs typeface="돋움"/>
                  </a:defRPr>
                </a:pPr>
                <a:r>
                  <a:rPr lang="en-US" altLang="en-US"/>
                  <a:t>frequency (Hz)</a:t>
                </a:r>
              </a:p>
            </c:rich>
          </c:tx>
          <c:layout>
            <c:manualLayout>
              <c:xMode val="edge"/>
              <c:yMode val="edge"/>
              <c:x val="0.44284474809146435"/>
              <c:y val="0.94583394303302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돋움"/>
                <a:ea typeface="돋움"/>
                <a:cs typeface="돋움"/>
              </a:defRPr>
            </a:pPr>
            <a:endParaRPr lang="en-US"/>
          </a:p>
        </c:txPr>
        <c:crossAx val="198028920"/>
        <c:crosses val="autoZero"/>
        <c:crossBetween val="midCat"/>
        <c:minorUnit val="10"/>
      </c:valAx>
      <c:valAx>
        <c:axId val="198028920"/>
        <c:scaling>
          <c:orientation val="minMax"/>
          <c:max val="80"/>
          <c:min val="-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돋움"/>
                    <a:ea typeface="돋움"/>
                    <a:cs typeface="돋움"/>
                  </a:defRPr>
                </a:pPr>
                <a:r>
                  <a:rPr lang="en-US" altLang="en-US"/>
                  <a:t>Gain (dB)</a:t>
                </a:r>
              </a:p>
            </c:rich>
          </c:tx>
          <c:layout>
            <c:manualLayout>
              <c:xMode val="edge"/>
              <c:yMode val="edge"/>
              <c:x val="2.0467865479751643E-2"/>
              <c:y val="0.34482758620690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돋움"/>
                <a:ea typeface="돋움"/>
                <a:cs typeface="돋움"/>
              </a:defRPr>
            </a:pPr>
            <a:endParaRPr lang="en-US"/>
          </a:p>
        </c:txPr>
        <c:crossAx val="196375464"/>
        <c:crosses val="autoZero"/>
        <c:crossBetween val="midCat"/>
        <c:minorUnit val="20"/>
      </c:valAx>
    </c:plotArea>
    <c:legend>
      <c:legendPos val="r"/>
      <c:layout>
        <c:manualLayout>
          <c:xMode val="edge"/>
          <c:yMode val="edge"/>
          <c:x val="0.68738974679829679"/>
          <c:y val="3.6072538370664292E-2"/>
          <c:w val="0.2763161839766497"/>
          <c:h val="0.275862068965520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돋움"/>
              <a:ea typeface="돋움"/>
              <a:cs typeface="돋움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돋움"/>
          <a:ea typeface="돋움"/>
          <a:cs typeface="돋움"/>
        </a:defRPr>
      </a:pPr>
      <a:endParaRPr lang="en-US"/>
    </a:p>
  </c:txPr>
  <c:printSettings>
    <c:headerFooter alignWithMargins="0"/>
    <c:pageMargins b="1" l="0.75000000000000555" r="0.7500000000000055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35048318880992"/>
          <c:y val="6.3909774436090222E-2"/>
          <c:w val="0.82260698231458851"/>
          <c:h val="0.82128840980526097"/>
        </c:manualLayout>
      </c:layout>
      <c:scatterChart>
        <c:scatterStyle val="smoothMarker"/>
        <c:varyColors val="0"/>
        <c:ser>
          <c:idx val="0"/>
          <c:order val="0"/>
          <c:tx>
            <c:v>Control-to-output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'FAN9673 Design Tool'!$D$189:$D$203</c:f>
              <c:numCache>
                <c:formatCode>General</c:formatCode>
                <c:ptCount val="15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16</c:v>
                </c:pt>
                <c:pt idx="4">
                  <c:v>25</c:v>
                </c:pt>
                <c:pt idx="5">
                  <c:v>40</c:v>
                </c:pt>
                <c:pt idx="6">
                  <c:v>63</c:v>
                </c:pt>
                <c:pt idx="7">
                  <c:v>100</c:v>
                </c:pt>
                <c:pt idx="8">
                  <c:v>160</c:v>
                </c:pt>
                <c:pt idx="9">
                  <c:v>250</c:v>
                </c:pt>
                <c:pt idx="10">
                  <c:v>400</c:v>
                </c:pt>
                <c:pt idx="11">
                  <c:v>630</c:v>
                </c:pt>
                <c:pt idx="12">
                  <c:v>1000</c:v>
                </c:pt>
                <c:pt idx="13">
                  <c:v>1600</c:v>
                </c:pt>
                <c:pt idx="14">
                  <c:v>2500</c:v>
                </c:pt>
              </c:numCache>
            </c:numRef>
          </c:xVal>
          <c:yVal>
            <c:numRef>
              <c:f>'FAN9673 Design Tool'!$H$189:$H$203</c:f>
              <c:numCache>
                <c:formatCode>General</c:formatCode>
                <c:ptCount val="15"/>
                <c:pt idx="0">
                  <c:v>-90</c:v>
                </c:pt>
                <c:pt idx="1">
                  <c:v>-90</c:v>
                </c:pt>
                <c:pt idx="2">
                  <c:v>-90</c:v>
                </c:pt>
                <c:pt idx="3">
                  <c:v>-90</c:v>
                </c:pt>
                <c:pt idx="4">
                  <c:v>-90</c:v>
                </c:pt>
                <c:pt idx="5">
                  <c:v>-90</c:v>
                </c:pt>
                <c:pt idx="6">
                  <c:v>-90</c:v>
                </c:pt>
                <c:pt idx="7">
                  <c:v>-90</c:v>
                </c:pt>
                <c:pt idx="8">
                  <c:v>-90</c:v>
                </c:pt>
                <c:pt idx="9">
                  <c:v>-90</c:v>
                </c:pt>
                <c:pt idx="10">
                  <c:v>-90</c:v>
                </c:pt>
                <c:pt idx="11">
                  <c:v>-90</c:v>
                </c:pt>
                <c:pt idx="12">
                  <c:v>-90</c:v>
                </c:pt>
                <c:pt idx="13">
                  <c:v>-90</c:v>
                </c:pt>
                <c:pt idx="14">
                  <c:v>-90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164-4A30-90DA-E01DC80113A4}"/>
            </c:ext>
          </c:extLst>
        </c:ser>
        <c:ser>
          <c:idx val="1"/>
          <c:order val="1"/>
          <c:tx>
            <c:v>Compensator</c:v>
          </c:tx>
          <c:spPr>
            <a:ln w="25400">
              <a:solidFill>
                <a:srgbClr val="008080"/>
              </a:solidFill>
              <a:prstDash val="sysDash"/>
            </a:ln>
          </c:spPr>
          <c:marker>
            <c:symbol val="none"/>
          </c:marker>
          <c:xVal>
            <c:numRef>
              <c:f>'FAN9673 Design Tool'!$D$189:$D$203</c:f>
              <c:numCache>
                <c:formatCode>General</c:formatCode>
                <c:ptCount val="15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16</c:v>
                </c:pt>
                <c:pt idx="4">
                  <c:v>25</c:v>
                </c:pt>
                <c:pt idx="5">
                  <c:v>40</c:v>
                </c:pt>
                <c:pt idx="6">
                  <c:v>63</c:v>
                </c:pt>
                <c:pt idx="7">
                  <c:v>100</c:v>
                </c:pt>
                <c:pt idx="8">
                  <c:v>160</c:v>
                </c:pt>
                <c:pt idx="9">
                  <c:v>250</c:v>
                </c:pt>
                <c:pt idx="10">
                  <c:v>400</c:v>
                </c:pt>
                <c:pt idx="11">
                  <c:v>630</c:v>
                </c:pt>
                <c:pt idx="12">
                  <c:v>1000</c:v>
                </c:pt>
                <c:pt idx="13">
                  <c:v>1600</c:v>
                </c:pt>
                <c:pt idx="14">
                  <c:v>2500</c:v>
                </c:pt>
              </c:numCache>
            </c:numRef>
          </c:xVal>
          <c:yVal>
            <c:numRef>
              <c:f>'FAN9673 Design Tool'!$Q$189:$Q$203</c:f>
              <c:numCache>
                <c:formatCode>General</c:formatCode>
                <c:ptCount val="15"/>
                <c:pt idx="0">
                  <c:v>-87.402665276311978</c:v>
                </c:pt>
                <c:pt idx="1">
                  <c:v>-79.753661662092739</c:v>
                </c:pt>
                <c:pt idx="2">
                  <c:v>-68.191988407564111</c:v>
                </c:pt>
                <c:pt idx="3">
                  <c:v>-55.720091869228519</c:v>
                </c:pt>
                <c:pt idx="4">
                  <c:v>-45.612010932618631</c:v>
                </c:pt>
                <c:pt idx="5">
                  <c:v>-37.777143875367194</c:v>
                </c:pt>
                <c:pt idx="6">
                  <c:v>-35.097062254546131</c:v>
                </c:pt>
                <c:pt idx="7">
                  <c:v>-37.974467859450002</c:v>
                </c:pt>
                <c:pt idx="8">
                  <c:v>-45.958529853774607</c:v>
                </c:pt>
                <c:pt idx="9">
                  <c:v>-56.10802151409375</c:v>
                </c:pt>
                <c:pt idx="10">
                  <c:v>-66.46330350296634</c:v>
                </c:pt>
                <c:pt idx="11">
                  <c:v>-74.327259275535894</c:v>
                </c:pt>
                <c:pt idx="12">
                  <c:v>-79.917378575011313</c:v>
                </c:pt>
                <c:pt idx="13">
                  <c:v>-83.643463820595613</c:v>
                </c:pt>
                <c:pt idx="14">
                  <c:v>-85.918258620190542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164-4A30-90DA-E01DC80113A4}"/>
            </c:ext>
          </c:extLst>
        </c:ser>
        <c:ser>
          <c:idx val="2"/>
          <c:order val="2"/>
          <c:tx>
            <c:v>T (Closed loop gain)</c:v>
          </c:tx>
          <c:spPr>
            <a:ln w="508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'FAN9673 Design Tool'!$D$189:$D$203</c:f>
              <c:numCache>
                <c:formatCode>General</c:formatCode>
                <c:ptCount val="15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16</c:v>
                </c:pt>
                <c:pt idx="4">
                  <c:v>25</c:v>
                </c:pt>
                <c:pt idx="5">
                  <c:v>40</c:v>
                </c:pt>
                <c:pt idx="6">
                  <c:v>63</c:v>
                </c:pt>
                <c:pt idx="7">
                  <c:v>100</c:v>
                </c:pt>
                <c:pt idx="8">
                  <c:v>160</c:v>
                </c:pt>
                <c:pt idx="9">
                  <c:v>250</c:v>
                </c:pt>
                <c:pt idx="10">
                  <c:v>400</c:v>
                </c:pt>
                <c:pt idx="11">
                  <c:v>630</c:v>
                </c:pt>
                <c:pt idx="12">
                  <c:v>1000</c:v>
                </c:pt>
                <c:pt idx="13">
                  <c:v>1600</c:v>
                </c:pt>
                <c:pt idx="14">
                  <c:v>2500</c:v>
                </c:pt>
              </c:numCache>
            </c:numRef>
          </c:xVal>
          <c:yVal>
            <c:numRef>
              <c:f>'FAN9673 Design Tool'!$S$189:$S$203</c:f>
              <c:numCache>
                <c:formatCode>General</c:formatCode>
                <c:ptCount val="15"/>
                <c:pt idx="0">
                  <c:v>-177.40266527631198</c:v>
                </c:pt>
                <c:pt idx="1">
                  <c:v>-169.7536616620927</c:v>
                </c:pt>
                <c:pt idx="2">
                  <c:v>-158.19198840756414</c:v>
                </c:pt>
                <c:pt idx="3">
                  <c:v>-145.72009186922858</c:v>
                </c:pt>
                <c:pt idx="4">
                  <c:v>-135.61201093261869</c:v>
                </c:pt>
                <c:pt idx="5">
                  <c:v>-127.77714387536713</c:v>
                </c:pt>
                <c:pt idx="6">
                  <c:v>-125.0970622545463</c:v>
                </c:pt>
                <c:pt idx="7">
                  <c:v>-127.97446785944997</c:v>
                </c:pt>
                <c:pt idx="8">
                  <c:v>-135.95852985377462</c:v>
                </c:pt>
                <c:pt idx="9">
                  <c:v>-146.10802151409382</c:v>
                </c:pt>
                <c:pt idx="10">
                  <c:v>-156.46330350296634</c:v>
                </c:pt>
                <c:pt idx="11">
                  <c:v>-164.32725927553585</c:v>
                </c:pt>
                <c:pt idx="12">
                  <c:v>-169.9173785750113</c:v>
                </c:pt>
                <c:pt idx="13">
                  <c:v>-173.6434638205956</c:v>
                </c:pt>
                <c:pt idx="14">
                  <c:v>-175.91825862019053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164-4A30-90DA-E01DC8011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031272"/>
        <c:axId val="198031664"/>
      </c:scatterChart>
      <c:valAx>
        <c:axId val="198031272"/>
        <c:scaling>
          <c:logBase val="10"/>
          <c:orientation val="minMax"/>
          <c:max val="1000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돋움"/>
                    <a:ea typeface="돋움"/>
                    <a:cs typeface="돋움"/>
                  </a:defRPr>
                </a:pPr>
                <a:r>
                  <a:rPr lang="en-US" altLang="en-US"/>
                  <a:t>frequency (Hz)</a:t>
                </a:r>
              </a:p>
            </c:rich>
          </c:tx>
          <c:layout>
            <c:manualLayout>
              <c:xMode val="edge"/>
              <c:yMode val="edge"/>
              <c:x val="0.46627590937551688"/>
              <c:y val="0.948097776818856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돋움"/>
                <a:ea typeface="돋움"/>
                <a:cs typeface="돋움"/>
              </a:defRPr>
            </a:pPr>
            <a:endParaRPr lang="en-US"/>
          </a:p>
        </c:txPr>
        <c:crossAx val="198031664"/>
        <c:crosses val="autoZero"/>
        <c:crossBetween val="midCat"/>
        <c:majorUnit val="10"/>
        <c:minorUnit val="10"/>
      </c:valAx>
      <c:valAx>
        <c:axId val="198031664"/>
        <c:scaling>
          <c:orientation val="minMax"/>
          <c:max val="-30"/>
          <c:min val="-1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돋움"/>
                    <a:ea typeface="돋움"/>
                    <a:cs typeface="돋움"/>
                  </a:defRPr>
                </a:pPr>
                <a:r>
                  <a:rPr lang="en-US" altLang="en-US"/>
                  <a:t>Phase (degree)</a:t>
                </a:r>
              </a:p>
            </c:rich>
          </c:tx>
          <c:layout>
            <c:manualLayout>
              <c:xMode val="edge"/>
              <c:yMode val="edge"/>
              <c:x val="2.0527873934568827E-2"/>
              <c:y val="0.308270676691729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돋움"/>
                <a:ea typeface="돋움"/>
                <a:cs typeface="돋움"/>
              </a:defRPr>
            </a:pPr>
            <a:endParaRPr lang="en-US"/>
          </a:p>
        </c:txPr>
        <c:crossAx val="198031272"/>
        <c:crosses val="autoZero"/>
        <c:crossBetween val="midCat"/>
        <c:majorUnit val="30"/>
        <c:minorUnit val="3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돋움"/>
          <a:ea typeface="돋움"/>
          <a:cs typeface="돋움"/>
        </a:defRPr>
      </a:pPr>
      <a:endParaRPr lang="en-US"/>
    </a:p>
  </c:txPr>
  <c:printSettings>
    <c:headerFooter alignWithMargins="0"/>
    <c:pageMargins b="1" l="0.75000000000000555" r="0.7500000000000055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0.png"/><Relationship Id="rId5" Type="http://schemas.openxmlformats.org/officeDocument/2006/relationships/image" Target="../media/image9.emf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11905</xdr:colOff>
      <xdr:row>121</xdr:row>
      <xdr:rowOff>119305</xdr:rowOff>
    </xdr:from>
    <xdr:to>
      <xdr:col>5</xdr:col>
      <xdr:colOff>53340</xdr:colOff>
      <xdr:row>140</xdr:row>
      <xdr:rowOff>59773</xdr:rowOff>
    </xdr:to>
    <xdr:graphicFrame macro="">
      <xdr:nvGraphicFramePr>
        <xdr:cNvPr id="3" name="Chart 7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141</xdr:row>
      <xdr:rowOff>11447</xdr:rowOff>
    </xdr:from>
    <xdr:to>
      <xdr:col>5</xdr:col>
      <xdr:colOff>47063</xdr:colOff>
      <xdr:row>161</xdr:row>
      <xdr:rowOff>93110</xdr:rowOff>
    </xdr:to>
    <xdr:graphicFrame macro="">
      <xdr:nvGraphicFramePr>
        <xdr:cNvPr id="4" name="Chart 7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42468</xdr:colOff>
      <xdr:row>121</xdr:row>
      <xdr:rowOff>78858</xdr:rowOff>
    </xdr:from>
    <xdr:to>
      <xdr:col>12</xdr:col>
      <xdr:colOff>181393</xdr:colOff>
      <xdr:row>140</xdr:row>
      <xdr:rowOff>18626</xdr:rowOff>
    </xdr:to>
    <xdr:graphicFrame macro="">
      <xdr:nvGraphicFramePr>
        <xdr:cNvPr id="5" name="Chart 7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36838</xdr:colOff>
      <xdr:row>140</xdr:row>
      <xdr:rowOff>162202</xdr:rowOff>
    </xdr:from>
    <xdr:to>
      <xdr:col>12</xdr:col>
      <xdr:colOff>181391</xdr:colOff>
      <xdr:row>161</xdr:row>
      <xdr:rowOff>64571</xdr:rowOff>
    </xdr:to>
    <xdr:graphicFrame macro="">
      <xdr:nvGraphicFramePr>
        <xdr:cNvPr id="6" name="Chart 7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</xdr:colOff>
      <xdr:row>88</xdr:row>
      <xdr:rowOff>100012</xdr:rowOff>
    </xdr:from>
    <xdr:to>
      <xdr:col>2</xdr:col>
      <xdr:colOff>178594</xdr:colOff>
      <xdr:row>89</xdr:row>
      <xdr:rowOff>147637</xdr:rowOff>
    </xdr:to>
    <xdr:sp macro="" textlink="">
      <xdr:nvSpPr>
        <xdr:cNvPr id="13" name="Arc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191001" y="18273712"/>
          <a:ext cx="178593" cy="314325"/>
        </a:xfrm>
        <a:prstGeom prst="arc">
          <a:avLst>
            <a:gd name="adj1" fmla="val 16200000"/>
            <a:gd name="adj2" fmla="val 5878181"/>
          </a:avLst>
        </a:prstGeom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zh-TW" altLang="en-US" sz="1100"/>
        </a:p>
      </xdr:txBody>
    </xdr:sp>
    <xdr:clientData/>
  </xdr:twoCellAnchor>
  <xdr:twoCellAnchor>
    <xdr:from>
      <xdr:col>2</xdr:col>
      <xdr:colOff>0</xdr:colOff>
      <xdr:row>115</xdr:row>
      <xdr:rowOff>69057</xdr:rowOff>
    </xdr:from>
    <xdr:to>
      <xdr:col>2</xdr:col>
      <xdr:colOff>178593</xdr:colOff>
      <xdr:row>116</xdr:row>
      <xdr:rowOff>116682</xdr:rowOff>
    </xdr:to>
    <xdr:sp macro="" textlink="">
      <xdr:nvSpPr>
        <xdr:cNvPr id="14" name="Arc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191000" y="23491032"/>
          <a:ext cx="178593" cy="238125"/>
        </a:xfrm>
        <a:prstGeom prst="arc">
          <a:avLst>
            <a:gd name="adj1" fmla="val 16200000"/>
            <a:gd name="adj2" fmla="val 5878181"/>
          </a:avLst>
        </a:prstGeom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zh-TW" altLang="en-US" sz="1100"/>
        </a:p>
      </xdr:txBody>
    </xdr:sp>
    <xdr:clientData/>
  </xdr:twoCellAnchor>
  <xdr:twoCellAnchor>
    <xdr:from>
      <xdr:col>2</xdr:col>
      <xdr:colOff>1</xdr:colOff>
      <xdr:row>117</xdr:row>
      <xdr:rowOff>69057</xdr:rowOff>
    </xdr:from>
    <xdr:to>
      <xdr:col>2</xdr:col>
      <xdr:colOff>178594</xdr:colOff>
      <xdr:row>118</xdr:row>
      <xdr:rowOff>116683</xdr:rowOff>
    </xdr:to>
    <xdr:sp macro="" textlink="">
      <xdr:nvSpPr>
        <xdr:cNvPr id="15" name="Arc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191001" y="23872032"/>
          <a:ext cx="178593" cy="238126"/>
        </a:xfrm>
        <a:prstGeom prst="arc">
          <a:avLst>
            <a:gd name="adj1" fmla="val 16200000"/>
            <a:gd name="adj2" fmla="val 5878181"/>
          </a:avLst>
        </a:prstGeom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zh-TW" altLang="en-US" sz="1100"/>
        </a:p>
      </xdr:txBody>
    </xdr:sp>
    <xdr:clientData/>
  </xdr:twoCellAnchor>
  <xdr:twoCellAnchor>
    <xdr:from>
      <xdr:col>2</xdr:col>
      <xdr:colOff>11907</xdr:colOff>
      <xdr:row>119</xdr:row>
      <xdr:rowOff>69056</xdr:rowOff>
    </xdr:from>
    <xdr:to>
      <xdr:col>2</xdr:col>
      <xdr:colOff>190500</xdr:colOff>
      <xdr:row>120</xdr:row>
      <xdr:rowOff>116681</xdr:rowOff>
    </xdr:to>
    <xdr:sp macro="" textlink="">
      <xdr:nvSpPr>
        <xdr:cNvPr id="16" name="Arc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202907" y="24253031"/>
          <a:ext cx="178593" cy="238125"/>
        </a:xfrm>
        <a:prstGeom prst="arc">
          <a:avLst>
            <a:gd name="adj1" fmla="val 16200000"/>
            <a:gd name="adj2" fmla="val 5878181"/>
          </a:avLst>
        </a:prstGeom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zh-TW" altLang="en-US" sz="1100"/>
        </a:p>
      </xdr:txBody>
    </xdr:sp>
    <xdr:clientData/>
  </xdr:twoCellAnchor>
  <xdr:twoCellAnchor>
    <xdr:from>
      <xdr:col>9</xdr:col>
      <xdr:colOff>23812</xdr:colOff>
      <xdr:row>114</xdr:row>
      <xdr:rowOff>71437</xdr:rowOff>
    </xdr:from>
    <xdr:to>
      <xdr:col>9</xdr:col>
      <xdr:colOff>202405</xdr:colOff>
      <xdr:row>115</xdr:row>
      <xdr:rowOff>119063</xdr:rowOff>
    </xdr:to>
    <xdr:sp macro="" textlink="">
      <xdr:nvSpPr>
        <xdr:cNvPr id="17" name="Arc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1620500" y="14335125"/>
          <a:ext cx="178593" cy="226219"/>
        </a:xfrm>
        <a:prstGeom prst="arc">
          <a:avLst>
            <a:gd name="adj1" fmla="val 16200000"/>
            <a:gd name="adj2" fmla="val 5878181"/>
          </a:avLst>
        </a:prstGeom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zh-TW" altLang="en-US" sz="1100"/>
        </a:p>
      </xdr:txBody>
    </xdr:sp>
    <xdr:clientData/>
  </xdr:twoCellAnchor>
  <xdr:twoCellAnchor>
    <xdr:from>
      <xdr:col>9</xdr:col>
      <xdr:colOff>35719</xdr:colOff>
      <xdr:row>116</xdr:row>
      <xdr:rowOff>71438</xdr:rowOff>
    </xdr:from>
    <xdr:to>
      <xdr:col>9</xdr:col>
      <xdr:colOff>214312</xdr:colOff>
      <xdr:row>117</xdr:row>
      <xdr:rowOff>119063</xdr:rowOff>
    </xdr:to>
    <xdr:sp macro="" textlink="">
      <xdr:nvSpPr>
        <xdr:cNvPr id="18" name="Arc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1632407" y="14692313"/>
          <a:ext cx="178593" cy="226219"/>
        </a:xfrm>
        <a:prstGeom prst="arc">
          <a:avLst>
            <a:gd name="adj1" fmla="val 16200000"/>
            <a:gd name="adj2" fmla="val 5878181"/>
          </a:avLst>
        </a:prstGeom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zh-TW" altLang="en-US" sz="1100"/>
        </a:p>
      </xdr:txBody>
    </xdr:sp>
    <xdr:clientData/>
  </xdr:twoCellAnchor>
  <xdr:twoCellAnchor>
    <xdr:from>
      <xdr:col>9</xdr:col>
      <xdr:colOff>47625</xdr:colOff>
      <xdr:row>118</xdr:row>
      <xdr:rowOff>71437</xdr:rowOff>
    </xdr:from>
    <xdr:to>
      <xdr:col>9</xdr:col>
      <xdr:colOff>226218</xdr:colOff>
      <xdr:row>119</xdr:row>
      <xdr:rowOff>119063</xdr:rowOff>
    </xdr:to>
    <xdr:sp macro="" textlink="">
      <xdr:nvSpPr>
        <xdr:cNvPr id="19" name="Arc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644313" y="15049500"/>
          <a:ext cx="178593" cy="226219"/>
        </a:xfrm>
        <a:prstGeom prst="arc">
          <a:avLst>
            <a:gd name="adj1" fmla="val 16200000"/>
            <a:gd name="adj2" fmla="val 5878181"/>
          </a:avLst>
        </a:prstGeom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zh-TW" altLang="en-US" sz="1100"/>
        </a:p>
      </xdr:txBody>
    </xdr:sp>
    <xdr:clientData/>
  </xdr:twoCellAnchor>
  <xdr:twoCellAnchor>
    <xdr:from>
      <xdr:col>1</xdr:col>
      <xdr:colOff>809626</xdr:colOff>
      <xdr:row>68</xdr:row>
      <xdr:rowOff>95250</xdr:rowOff>
    </xdr:from>
    <xdr:to>
      <xdr:col>2</xdr:col>
      <xdr:colOff>154782</xdr:colOff>
      <xdr:row>69</xdr:row>
      <xdr:rowOff>130968</xdr:rowOff>
    </xdr:to>
    <xdr:sp macro="" textlink="">
      <xdr:nvSpPr>
        <xdr:cNvPr id="20" name="Arc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171951" y="14163675"/>
          <a:ext cx="173831" cy="283368"/>
        </a:xfrm>
        <a:prstGeom prst="arc">
          <a:avLst>
            <a:gd name="adj1" fmla="val 16200000"/>
            <a:gd name="adj2" fmla="val 5878181"/>
          </a:avLst>
        </a:prstGeom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zh-TW" altLang="en-US" sz="1100"/>
        </a:p>
      </xdr:txBody>
    </xdr:sp>
    <xdr:clientData/>
  </xdr:twoCellAnchor>
  <xdr:twoCellAnchor>
    <xdr:from>
      <xdr:col>1</xdr:col>
      <xdr:colOff>805658</xdr:colOff>
      <xdr:row>65</xdr:row>
      <xdr:rowOff>135729</xdr:rowOff>
    </xdr:from>
    <xdr:to>
      <xdr:col>2</xdr:col>
      <xdr:colOff>402167</xdr:colOff>
      <xdr:row>69</xdr:row>
      <xdr:rowOff>142874</xdr:rowOff>
    </xdr:to>
    <xdr:sp macro="" textlink="">
      <xdr:nvSpPr>
        <xdr:cNvPr id="21" name="Arc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4167983" y="13480254"/>
          <a:ext cx="425184" cy="978695"/>
        </a:xfrm>
        <a:prstGeom prst="arc">
          <a:avLst>
            <a:gd name="adj1" fmla="val 16200000"/>
            <a:gd name="adj2" fmla="val 5521747"/>
          </a:avLst>
        </a:prstGeom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zh-TW" altLang="en-US" sz="1100"/>
        </a:p>
      </xdr:txBody>
    </xdr:sp>
    <xdr:clientData/>
  </xdr:twoCellAnchor>
  <xdr:twoCellAnchor>
    <xdr:from>
      <xdr:col>3</xdr:col>
      <xdr:colOff>21166</xdr:colOff>
      <xdr:row>3</xdr:row>
      <xdr:rowOff>38100</xdr:rowOff>
    </xdr:from>
    <xdr:to>
      <xdr:col>3</xdr:col>
      <xdr:colOff>202405</xdr:colOff>
      <xdr:row>4</xdr:row>
      <xdr:rowOff>122766</xdr:rowOff>
    </xdr:to>
    <xdr:sp macro="" textlink="">
      <xdr:nvSpPr>
        <xdr:cNvPr id="22" name="Arc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5031316" y="581025"/>
          <a:ext cx="181239" cy="265641"/>
        </a:xfrm>
        <a:prstGeom prst="arc">
          <a:avLst>
            <a:gd name="adj1" fmla="val 16200000"/>
            <a:gd name="adj2" fmla="val 5878181"/>
          </a:avLst>
        </a:prstGeom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zh-TW" altLang="en-US" sz="1100"/>
        </a:p>
      </xdr:txBody>
    </xdr:sp>
    <xdr:clientData/>
  </xdr:twoCellAnchor>
  <xdr:twoCellAnchor>
    <xdr:from>
      <xdr:col>2</xdr:col>
      <xdr:colOff>0</xdr:colOff>
      <xdr:row>56</xdr:row>
      <xdr:rowOff>85725</xdr:rowOff>
    </xdr:from>
    <xdr:to>
      <xdr:col>2</xdr:col>
      <xdr:colOff>178593</xdr:colOff>
      <xdr:row>57</xdr:row>
      <xdr:rowOff>121443</xdr:rowOff>
    </xdr:to>
    <xdr:sp macro="" textlink="">
      <xdr:nvSpPr>
        <xdr:cNvPr id="23" name="Arc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4191000" y="11572875"/>
          <a:ext cx="178593" cy="226218"/>
        </a:xfrm>
        <a:prstGeom prst="arc">
          <a:avLst>
            <a:gd name="adj1" fmla="val 16200000"/>
            <a:gd name="adj2" fmla="val 5878181"/>
          </a:avLst>
        </a:prstGeom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zh-TW" altLang="en-US" sz="1100"/>
        </a:p>
      </xdr:txBody>
    </xdr:sp>
    <xdr:clientData/>
  </xdr:twoCellAnchor>
  <xdr:twoCellAnchor>
    <xdr:from>
      <xdr:col>1</xdr:col>
      <xdr:colOff>809623</xdr:colOff>
      <xdr:row>78</xdr:row>
      <xdr:rowOff>138112</xdr:rowOff>
    </xdr:from>
    <xdr:to>
      <xdr:col>2</xdr:col>
      <xdr:colOff>154779</xdr:colOff>
      <xdr:row>79</xdr:row>
      <xdr:rowOff>126206</xdr:rowOff>
    </xdr:to>
    <xdr:sp macro="" textlink="">
      <xdr:nvSpPr>
        <xdr:cNvPr id="26" name="Arc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4167186" y="14723268"/>
          <a:ext cx="178593" cy="226219"/>
        </a:xfrm>
        <a:prstGeom prst="arc">
          <a:avLst>
            <a:gd name="adj1" fmla="val 16200000"/>
            <a:gd name="adj2" fmla="val 5878181"/>
          </a:avLst>
        </a:prstGeom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zh-TW" altLang="en-US" sz="1100"/>
        </a:p>
      </xdr:txBody>
    </xdr:sp>
    <xdr:clientData/>
  </xdr:twoCellAnchor>
  <xdr:twoCellAnchor>
    <xdr:from>
      <xdr:col>1</xdr:col>
      <xdr:colOff>820471</xdr:colOff>
      <xdr:row>75</xdr:row>
      <xdr:rowOff>53405</xdr:rowOff>
    </xdr:from>
    <xdr:to>
      <xdr:col>2</xdr:col>
      <xdr:colOff>165627</xdr:colOff>
      <xdr:row>76</xdr:row>
      <xdr:rowOff>136748</xdr:rowOff>
    </xdr:to>
    <xdr:sp macro="" textlink="">
      <xdr:nvSpPr>
        <xdr:cNvPr id="25" name="Arc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4178034" y="14043249"/>
          <a:ext cx="178593" cy="261937"/>
        </a:xfrm>
        <a:prstGeom prst="arc">
          <a:avLst>
            <a:gd name="adj1" fmla="val 16200000"/>
            <a:gd name="adj2" fmla="val 5878181"/>
          </a:avLst>
        </a:prstGeom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zh-TW" altLang="en-US" sz="1100"/>
        </a:p>
      </xdr:txBody>
    </xdr:sp>
    <xdr:clientData/>
  </xdr:twoCellAnchor>
  <xdr:twoCellAnchor>
    <xdr:from>
      <xdr:col>1</xdr:col>
      <xdr:colOff>819151</xdr:colOff>
      <xdr:row>80</xdr:row>
      <xdr:rowOff>147630</xdr:rowOff>
    </xdr:from>
    <xdr:to>
      <xdr:col>2</xdr:col>
      <xdr:colOff>164307</xdr:colOff>
      <xdr:row>81</xdr:row>
      <xdr:rowOff>135724</xdr:rowOff>
    </xdr:to>
    <xdr:sp macro="" textlink="">
      <xdr:nvSpPr>
        <xdr:cNvPr id="24" name="Arc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4176714" y="15209036"/>
          <a:ext cx="178593" cy="226219"/>
        </a:xfrm>
        <a:prstGeom prst="arc">
          <a:avLst>
            <a:gd name="adj1" fmla="val 16200000"/>
            <a:gd name="adj2" fmla="val 5878181"/>
          </a:avLst>
        </a:prstGeom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zh-TW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7</xdr:row>
          <xdr:rowOff>9525</xdr:rowOff>
        </xdr:from>
        <xdr:to>
          <xdr:col>7</xdr:col>
          <xdr:colOff>971550</xdr:colOff>
          <xdr:row>13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76200</xdr:colOff>
      <xdr:row>111</xdr:row>
      <xdr:rowOff>7620</xdr:rowOff>
    </xdr:from>
    <xdr:to>
      <xdr:col>6</xdr:col>
      <xdr:colOff>106680</xdr:colOff>
      <xdr:row>120</xdr:row>
      <xdr:rowOff>30480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20970240"/>
          <a:ext cx="2727960" cy="1645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56</xdr:row>
          <xdr:rowOff>9525</xdr:rowOff>
        </xdr:from>
        <xdr:to>
          <xdr:col>7</xdr:col>
          <xdr:colOff>2219325</xdr:colOff>
          <xdr:row>66</xdr:row>
          <xdr:rowOff>38100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72</xdr:row>
          <xdr:rowOff>123825</xdr:rowOff>
        </xdr:from>
        <xdr:to>
          <xdr:col>11</xdr:col>
          <xdr:colOff>266700</xdr:colOff>
          <xdr:row>86</xdr:row>
          <xdr:rowOff>171450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52</xdr:row>
          <xdr:rowOff>28575</xdr:rowOff>
        </xdr:from>
        <xdr:to>
          <xdr:col>17</xdr:col>
          <xdr:colOff>171450</xdr:colOff>
          <xdr:row>70</xdr:row>
          <xdr:rowOff>66675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1314450</xdr:colOff>
          <xdr:row>7</xdr:row>
          <xdr:rowOff>0</xdr:rowOff>
        </xdr:from>
        <xdr:to>
          <xdr:col>21</xdr:col>
          <xdr:colOff>9525</xdr:colOff>
          <xdr:row>42</xdr:row>
          <xdr:rowOff>161925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200025</xdr:colOff>
          <xdr:row>39</xdr:row>
          <xdr:rowOff>19050</xdr:rowOff>
        </xdr:from>
        <xdr:to>
          <xdr:col>7</xdr:col>
          <xdr:colOff>1133475</xdr:colOff>
          <xdr:row>53</xdr:row>
          <xdr:rowOff>19050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87</xdr:row>
          <xdr:rowOff>38100</xdr:rowOff>
        </xdr:from>
        <xdr:to>
          <xdr:col>9</xdr:col>
          <xdr:colOff>695325</xdr:colOff>
          <xdr:row>104</xdr:row>
          <xdr:rowOff>133350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209550</xdr:colOff>
          <xdr:row>110</xdr:row>
          <xdr:rowOff>76200</xdr:rowOff>
        </xdr:from>
        <xdr:to>
          <xdr:col>15</xdr:col>
          <xdr:colOff>9525</xdr:colOff>
          <xdr:row>121</xdr:row>
          <xdr:rowOff>28575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839154</xdr:colOff>
      <xdr:row>91</xdr:row>
      <xdr:rowOff>98576</xdr:rowOff>
    </xdr:from>
    <xdr:to>
      <xdr:col>2</xdr:col>
      <xdr:colOff>184310</xdr:colOff>
      <xdr:row>92</xdr:row>
      <xdr:rowOff>117150</xdr:rowOff>
    </xdr:to>
    <xdr:sp macro="" textlink="">
      <xdr:nvSpPr>
        <xdr:cNvPr id="32" name="Arc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4298634" y="17982716"/>
          <a:ext cx="198596" cy="224314"/>
        </a:xfrm>
        <a:prstGeom prst="arc">
          <a:avLst>
            <a:gd name="adj1" fmla="val 16200000"/>
            <a:gd name="adj2" fmla="val 5878181"/>
          </a:avLst>
        </a:prstGeom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zh-TW" altLang="en-US" sz="1100"/>
        </a:p>
      </xdr:txBody>
    </xdr:sp>
    <xdr:clientData/>
  </xdr:twoCellAnchor>
  <xdr:twoCellAnchor>
    <xdr:from>
      <xdr:col>1</xdr:col>
      <xdr:colOff>830580</xdr:colOff>
      <xdr:row>94</xdr:row>
      <xdr:rowOff>106680</xdr:rowOff>
    </xdr:from>
    <xdr:to>
      <xdr:col>2</xdr:col>
      <xdr:colOff>167640</xdr:colOff>
      <xdr:row>95</xdr:row>
      <xdr:rowOff>121920</xdr:rowOff>
    </xdr:to>
    <xdr:sp macro="" textlink="">
      <xdr:nvSpPr>
        <xdr:cNvPr id="33" name="Arc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4290060" y="18402300"/>
          <a:ext cx="190500" cy="396240"/>
        </a:xfrm>
        <a:prstGeom prst="arc">
          <a:avLst>
            <a:gd name="adj1" fmla="val 16200000"/>
            <a:gd name="adj2" fmla="val 5703838"/>
          </a:avLst>
        </a:prstGeom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zh-TW" altLang="en-US" sz="1100"/>
        </a:p>
      </xdr:txBody>
    </xdr:sp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3070413</xdr:colOff>
      <xdr:row>6</xdr:row>
      <xdr:rowOff>4014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DCD90FE-1FDD-4DA0-B290-5D0BF89CD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3070412" cy="1090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Visio_2003-2010_Drawing2.vsd"/><Relationship Id="rId13" Type="http://schemas.openxmlformats.org/officeDocument/2006/relationships/image" Target="../media/image5.emf"/><Relationship Id="rId18" Type="http://schemas.openxmlformats.org/officeDocument/2006/relationships/oleObject" Target="../embeddings/Microsoft_Visio_2003-2010_Drawing7.vsd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Microsoft_Visio_2003-2010_Drawing4.vsd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Microsoft_Visio_2003-2010_Drawing6.vsd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Visio_2003-2010_Drawing1.vsd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Microsoft_Visio_2003-2010_Drawing3.vsd"/><Relationship Id="rId19" Type="http://schemas.openxmlformats.org/officeDocument/2006/relationships/image" Target="../media/image8.emf"/><Relationship Id="rId4" Type="http://schemas.openxmlformats.org/officeDocument/2006/relationships/oleObject" Target="../embeddings/Microsoft_Visio_2003-2010_Drawing.vsd"/><Relationship Id="rId9" Type="http://schemas.openxmlformats.org/officeDocument/2006/relationships/image" Target="../media/image3.emf"/><Relationship Id="rId14" Type="http://schemas.openxmlformats.org/officeDocument/2006/relationships/oleObject" Target="../embeddings/Microsoft_Visio_2003-2010_Drawing5.vsd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28"/>
  <sheetViews>
    <sheetView tabSelected="1" zoomScale="85" zoomScaleNormal="85" workbookViewId="0">
      <selection activeCell="B21" sqref="B21"/>
    </sheetView>
  </sheetViews>
  <sheetFormatPr defaultColWidth="9.140625" defaultRowHeight="14.25"/>
  <cols>
    <col min="1" max="1" width="50.42578125" style="1" customWidth="1"/>
    <col min="2" max="2" width="12.42578125" style="1" customWidth="1"/>
    <col min="3" max="3" width="12.28515625" style="1" customWidth="1"/>
    <col min="4" max="4" width="10.140625" style="1" customWidth="1"/>
    <col min="5" max="5" width="8.28515625" style="1" customWidth="1"/>
    <col min="6" max="6" width="20.85546875" style="1" customWidth="1"/>
    <col min="7" max="7" width="7" style="1" customWidth="1"/>
    <col min="8" max="8" width="42.5703125" style="1" customWidth="1"/>
    <col min="9" max="9" width="13.5703125" style="1" customWidth="1"/>
    <col min="10" max="10" width="11.5703125" style="1" customWidth="1"/>
    <col min="11" max="11" width="7.7109375" style="1" customWidth="1"/>
    <col min="12" max="12" width="8" style="1" customWidth="1"/>
    <col min="13" max="13" width="9.140625" style="1"/>
    <col min="14" max="14" width="7.5703125" style="1" customWidth="1"/>
    <col min="15" max="15" width="7.7109375" style="1" customWidth="1"/>
    <col min="16" max="16" width="7.140625" style="1" customWidth="1"/>
    <col min="17" max="17" width="7.5703125" style="1" customWidth="1"/>
    <col min="18" max="18" width="9" style="1" customWidth="1"/>
    <col min="19" max="19" width="7.140625" style="1" customWidth="1"/>
    <col min="20" max="16384" width="9.140625" style="1"/>
  </cols>
  <sheetData>
    <row r="1" spans="1:8">
      <c r="B1" s="1" t="s">
        <v>172</v>
      </c>
    </row>
    <row r="2" spans="1:8">
      <c r="B2" s="1" t="s">
        <v>185</v>
      </c>
      <c r="C2" s="1" t="s">
        <v>186</v>
      </c>
    </row>
    <row r="4" spans="1:8" ht="15">
      <c r="B4" s="2" t="s">
        <v>8</v>
      </c>
      <c r="D4" s="1" t="s">
        <v>141</v>
      </c>
      <c r="H4"/>
    </row>
    <row r="5" spans="1:8">
      <c r="B5" s="9" t="s">
        <v>7</v>
      </c>
    </row>
    <row r="6" spans="1:8">
      <c r="B6" s="95" t="s">
        <v>54</v>
      </c>
      <c r="C6" s="96"/>
    </row>
    <row r="7" spans="1:8" ht="15">
      <c r="A7" s="8" t="s">
        <v>36</v>
      </c>
    </row>
    <row r="8" spans="1:8" ht="15.75">
      <c r="A8" s="3" t="s">
        <v>0</v>
      </c>
      <c r="B8" s="4"/>
      <c r="C8" s="4"/>
    </row>
    <row r="9" spans="1:8" ht="18.75">
      <c r="A9" s="5" t="s">
        <v>83</v>
      </c>
      <c r="B9" s="19">
        <v>5000</v>
      </c>
      <c r="C9" s="24" t="s">
        <v>1</v>
      </c>
    </row>
    <row r="10" spans="1:8">
      <c r="A10" s="5" t="s">
        <v>101</v>
      </c>
      <c r="B10" s="60">
        <v>3</v>
      </c>
      <c r="C10" s="27"/>
    </row>
    <row r="11" spans="1:8" ht="15">
      <c r="A11" s="5" t="s">
        <v>121</v>
      </c>
      <c r="B11" s="19">
        <v>95</v>
      </c>
      <c r="C11" s="24" t="s">
        <v>2</v>
      </c>
    </row>
    <row r="12" spans="1:8" ht="18.75">
      <c r="A12" s="5" t="s">
        <v>43</v>
      </c>
      <c r="B12" s="61">
        <f>Pout/Eff*100</f>
        <v>5263.1578947368416</v>
      </c>
      <c r="C12" s="12" t="s">
        <v>1</v>
      </c>
    </row>
    <row r="13" spans="1:8">
      <c r="A13" s="5" t="s">
        <v>3</v>
      </c>
      <c r="B13" s="61">
        <f>Pin/Nch</f>
        <v>1754.3859649122805</v>
      </c>
      <c r="C13" s="12" t="s">
        <v>1</v>
      </c>
    </row>
    <row r="14" spans="1:8" ht="18.75">
      <c r="A14" s="5" t="s">
        <v>130</v>
      </c>
      <c r="B14" s="19">
        <v>393</v>
      </c>
      <c r="C14" s="24" t="s">
        <v>4</v>
      </c>
      <c r="D14" s="1" t="s">
        <v>142</v>
      </c>
    </row>
    <row r="15" spans="1:8" ht="16.5" customHeight="1">
      <c r="A15" s="5" t="s">
        <v>131</v>
      </c>
      <c r="B15" s="11">
        <f>Vout*1.1</f>
        <v>432.3</v>
      </c>
      <c r="C15" s="23" t="s">
        <v>106</v>
      </c>
      <c r="D15" s="59" t="s">
        <v>163</v>
      </c>
      <c r="E15" s="59"/>
      <c r="F15" s="59"/>
      <c r="G15" s="59"/>
      <c r="H15" s="59"/>
    </row>
    <row r="16" spans="1:8" ht="18.75">
      <c r="A16" s="5" t="s">
        <v>38</v>
      </c>
      <c r="B16" s="31">
        <f>(Pin/Nch)/Vout</f>
        <v>4.464086424713182</v>
      </c>
      <c r="C16" s="12" t="s">
        <v>5</v>
      </c>
      <c r="D16" s="59" t="s">
        <v>140</v>
      </c>
      <c r="E16" s="59"/>
      <c r="F16" s="59"/>
      <c r="G16" s="59"/>
      <c r="H16" s="59"/>
    </row>
    <row r="17" spans="1:24">
      <c r="C17" s="25"/>
      <c r="D17" s="59"/>
      <c r="E17" s="59"/>
      <c r="F17" s="59"/>
      <c r="G17" s="59"/>
      <c r="H17" s="59"/>
    </row>
    <row r="18" spans="1:24">
      <c r="C18" s="25"/>
    </row>
    <row r="19" spans="1:24" ht="15">
      <c r="A19" s="8" t="s">
        <v>108</v>
      </c>
      <c r="C19" s="25"/>
    </row>
    <row r="20" spans="1:24" ht="15.75">
      <c r="A20" s="3"/>
      <c r="B20" s="4"/>
      <c r="C20" s="26"/>
      <c r="F20"/>
    </row>
    <row r="21" spans="1:24" ht="18.75">
      <c r="A21" s="5" t="s">
        <v>39</v>
      </c>
      <c r="B21" s="32">
        <v>40</v>
      </c>
      <c r="C21" s="24" t="s">
        <v>6</v>
      </c>
      <c r="D21" s="1" t="s">
        <v>156</v>
      </c>
    </row>
    <row r="22" spans="1:24" ht="18.75">
      <c r="A22" s="5" t="s">
        <v>157</v>
      </c>
      <c r="B22" s="35">
        <f>800/B21</f>
        <v>20</v>
      </c>
      <c r="C22" s="36" t="s">
        <v>123</v>
      </c>
    </row>
    <row r="25" spans="1:24" ht="16.5">
      <c r="A25" s="8" t="s">
        <v>109</v>
      </c>
      <c r="C25" s="25"/>
    </row>
    <row r="26" spans="1:24" ht="15.75">
      <c r="A26" s="3"/>
      <c r="B26" s="4"/>
      <c r="C26" s="26"/>
    </row>
    <row r="27" spans="1:24">
      <c r="A27" s="5" t="s">
        <v>104</v>
      </c>
      <c r="B27" s="60">
        <v>264</v>
      </c>
      <c r="C27" s="34" t="s">
        <v>105</v>
      </c>
      <c r="D27" s="1" t="s">
        <v>143</v>
      </c>
    </row>
    <row r="28" spans="1:24" ht="18.75">
      <c r="A28" s="5" t="s">
        <v>103</v>
      </c>
      <c r="B28" s="61">
        <f>SQRT(2)*Vac.max</f>
        <v>373.3523804664971</v>
      </c>
      <c r="C28" s="12" t="s">
        <v>106</v>
      </c>
    </row>
    <row r="29" spans="1:24" ht="18.75">
      <c r="A29" s="5" t="s">
        <v>164</v>
      </c>
      <c r="B29" s="31">
        <f>(Vout-Vin.pk)/Vout*100</f>
        <v>4.9993942833340723</v>
      </c>
      <c r="C29" s="12" t="s">
        <v>138</v>
      </c>
      <c r="D29" s="1" t="s">
        <v>144</v>
      </c>
    </row>
    <row r="30" spans="1:24" ht="18.75">
      <c r="A30" s="5" t="s">
        <v>176</v>
      </c>
      <c r="B30" s="87">
        <v>100</v>
      </c>
      <c r="C30" s="88" t="s">
        <v>107</v>
      </c>
      <c r="D30" s="1" t="s">
        <v>175</v>
      </c>
    </row>
    <row r="31" spans="1:24" ht="18.75">
      <c r="A31" s="5" t="s">
        <v>177</v>
      </c>
      <c r="B31" s="31">
        <f>B28/B30</f>
        <v>3.733523804664971</v>
      </c>
      <c r="C31" s="12" t="s">
        <v>106</v>
      </c>
      <c r="D31" s="1" t="s">
        <v>165</v>
      </c>
    </row>
    <row r="32" spans="1:24" ht="18.75">
      <c r="A32" s="5" t="s">
        <v>158</v>
      </c>
      <c r="B32" s="35">
        <f>12.4*B31*100/Vin.pk</f>
        <v>12.400000000000002</v>
      </c>
      <c r="C32" s="36" t="s">
        <v>123</v>
      </c>
      <c r="D32" s="1" t="s">
        <v>145</v>
      </c>
      <c r="X32"/>
    </row>
    <row r="33" spans="1:5">
      <c r="C33" s="25"/>
    </row>
    <row r="34" spans="1:5">
      <c r="C34" s="25"/>
    </row>
    <row r="35" spans="1:5" ht="16.5">
      <c r="A35" s="8" t="s">
        <v>110</v>
      </c>
      <c r="C35" s="25"/>
    </row>
    <row r="36" spans="1:5" ht="15.75">
      <c r="A36" s="3"/>
      <c r="B36" s="4"/>
      <c r="C36" s="26"/>
    </row>
    <row r="37" spans="1:5">
      <c r="A37" s="5" t="s">
        <v>102</v>
      </c>
      <c r="B37" s="20">
        <v>2</v>
      </c>
      <c r="C37" s="24"/>
      <c r="D37" s="1" t="s">
        <v>146</v>
      </c>
    </row>
    <row r="38" spans="1:5" ht="18.75">
      <c r="A38" s="5" t="s">
        <v>41</v>
      </c>
      <c r="B38" s="35">
        <f>IF(B37=1,6,12)</f>
        <v>12</v>
      </c>
      <c r="C38" s="36" t="s">
        <v>124</v>
      </c>
      <c r="D38" s="1" t="s">
        <v>154</v>
      </c>
    </row>
    <row r="39" spans="1:5" ht="18.75">
      <c r="A39" s="5" t="s">
        <v>40</v>
      </c>
      <c r="B39" s="35">
        <f>IF(B37=1,0,500)</f>
        <v>500</v>
      </c>
      <c r="C39" s="36" t="s">
        <v>123</v>
      </c>
      <c r="D39" s="1" t="s">
        <v>155</v>
      </c>
    </row>
    <row r="40" spans="1:5" ht="18.75">
      <c r="A40" s="5" t="s">
        <v>137</v>
      </c>
      <c r="B40" s="40">
        <v>2000</v>
      </c>
      <c r="C40" s="41" t="s">
        <v>123</v>
      </c>
    </row>
    <row r="41" spans="1:5" ht="18.75">
      <c r="A41" s="5" t="s">
        <v>132</v>
      </c>
      <c r="B41" s="37">
        <v>200</v>
      </c>
      <c r="C41" s="39" t="s">
        <v>123</v>
      </c>
    </row>
    <row r="42" spans="1:5" ht="18.75">
      <c r="A42" s="5" t="s">
        <v>55</v>
      </c>
      <c r="B42" s="19">
        <v>170</v>
      </c>
      <c r="C42" s="27" t="s">
        <v>10</v>
      </c>
    </row>
    <row r="43" spans="1:5" ht="18.75">
      <c r="A43" s="5" t="s">
        <v>42</v>
      </c>
      <c r="B43" s="63">
        <f>IF(B37=1,((B40+B41+B44)/B44*1.05*PI()/2/SQRT(2)),((B40+B41+B44)/B44*1.05*PI()/2/SQRT(2)))</f>
        <v>160.22122533307947</v>
      </c>
      <c r="C43" s="12" t="s">
        <v>12</v>
      </c>
      <c r="E43"/>
    </row>
    <row r="44" spans="1:5" ht="18.75">
      <c r="A44" s="5" t="s">
        <v>136</v>
      </c>
      <c r="B44" s="64">
        <f>IF(B37=1,((B40+B41)*1.9/(B42*SQRT(2)-1.9)),((B40+B41)*1.75/(B42*SQRT(2)-1.75)))</f>
        <v>16.131309320207333</v>
      </c>
      <c r="C44" s="36" t="s">
        <v>123</v>
      </c>
    </row>
    <row r="45" spans="1:5" ht="18.75">
      <c r="A45" s="5" t="s">
        <v>160</v>
      </c>
      <c r="B45" s="33">
        <v>15</v>
      </c>
      <c r="C45" s="28" t="s">
        <v>135</v>
      </c>
    </row>
    <row r="46" spans="1:5" ht="18.75">
      <c r="A46" s="5" t="s">
        <v>161</v>
      </c>
      <c r="B46" s="33">
        <v>22</v>
      </c>
      <c r="C46" s="28" t="s">
        <v>135</v>
      </c>
    </row>
    <row r="47" spans="1:5" ht="18.75">
      <c r="A47" s="5" t="s">
        <v>133</v>
      </c>
      <c r="B47" s="65">
        <f>1/(2*PI()*B45*B41*1000)*10^9</f>
        <v>53.051647697298449</v>
      </c>
      <c r="C47" s="36" t="s">
        <v>129</v>
      </c>
    </row>
    <row r="48" spans="1:5" ht="18.75">
      <c r="A48" s="5" t="s">
        <v>134</v>
      </c>
      <c r="B48" s="65">
        <f>1/(2*PI()*B46*B44*1000)*10^9</f>
        <v>448.4642536749256</v>
      </c>
      <c r="C48" s="36" t="s">
        <v>129</v>
      </c>
    </row>
    <row r="49" spans="1:3" ht="1.5" customHeight="1">
      <c r="A49" s="5" t="s">
        <v>178</v>
      </c>
      <c r="B49" s="31">
        <f>IF(B37=1,B43*SQRT(2)/B30,B43*SQRT(2)/B30/2)</f>
        <v>1.1329351492303836</v>
      </c>
      <c r="C49" s="12" t="s">
        <v>106</v>
      </c>
    </row>
    <row r="50" spans="1:3">
      <c r="C50" s="25"/>
    </row>
    <row r="51" spans="1:3">
      <c r="C51" s="25"/>
    </row>
    <row r="52" spans="1:3" ht="15">
      <c r="A52" s="8" t="s">
        <v>111</v>
      </c>
      <c r="C52" s="25"/>
    </row>
    <row r="53" spans="1:3" ht="15.75">
      <c r="A53" s="3"/>
      <c r="B53" s="4"/>
      <c r="C53" s="26"/>
    </row>
    <row r="54" spans="1:3" ht="18.75" customHeight="1">
      <c r="A54" s="5" t="s">
        <v>59</v>
      </c>
      <c r="B54" s="32">
        <v>1.55</v>
      </c>
      <c r="C54" s="24"/>
    </row>
    <row r="55" spans="1:3" ht="18.75">
      <c r="A55" s="5" t="s">
        <v>159</v>
      </c>
      <c r="B55" s="62">
        <f>B13/B43*SQRT(2)</f>
        <v>15.48531675536818</v>
      </c>
      <c r="C55" s="23" t="s">
        <v>5</v>
      </c>
    </row>
    <row r="56" spans="1:3" ht="18.75">
      <c r="A56" s="5" t="s">
        <v>51</v>
      </c>
      <c r="B56" s="62">
        <f>B55*(1+B54/2)</f>
        <v>27.486437240778518</v>
      </c>
      <c r="C56" s="23" t="s">
        <v>5</v>
      </c>
    </row>
    <row r="57" spans="1:3" ht="15">
      <c r="A57" s="93" t="s">
        <v>44</v>
      </c>
      <c r="B57" s="62">
        <f>(B43*SQRT(2))/(B55*B54)*((B14-B43*SQRT(2))/B14)/(B21*1000)*1000000</f>
        <v>99.935061801733482</v>
      </c>
      <c r="C57" s="18" t="s">
        <v>13</v>
      </c>
    </row>
    <row r="58" spans="1:3" ht="15">
      <c r="A58" s="94"/>
      <c r="B58" s="37">
        <v>100</v>
      </c>
      <c r="C58" s="38" t="s">
        <v>125</v>
      </c>
    </row>
    <row r="59" spans="1:3">
      <c r="C59" s="25"/>
    </row>
    <row r="60" spans="1:3">
      <c r="C60" s="25"/>
    </row>
    <row r="61" spans="1:3" ht="15">
      <c r="A61" s="8" t="s">
        <v>112</v>
      </c>
      <c r="C61" s="25"/>
    </row>
    <row r="62" spans="1:3" ht="16.5" thickBot="1">
      <c r="A62" s="3"/>
      <c r="B62" s="4"/>
      <c r="C62" s="26"/>
    </row>
    <row r="63" spans="1:3" ht="18.75">
      <c r="A63" s="46" t="s">
        <v>56</v>
      </c>
      <c r="B63" s="51">
        <v>50</v>
      </c>
      <c r="C63" s="52" t="s">
        <v>15</v>
      </c>
    </row>
    <row r="64" spans="1:3" ht="18.75">
      <c r="A64" s="53" t="s">
        <v>162</v>
      </c>
      <c r="B64" s="19">
        <v>5</v>
      </c>
      <c r="C64" s="54" t="s">
        <v>2</v>
      </c>
    </row>
    <row r="65" spans="1:8" ht="18.75">
      <c r="A65" s="53" t="s">
        <v>45</v>
      </c>
      <c r="B65" s="11">
        <f>B14*B64/100</f>
        <v>19.649999999999999</v>
      </c>
      <c r="C65" s="55" t="s">
        <v>4</v>
      </c>
    </row>
    <row r="66" spans="1:8" ht="19.5" thickBot="1">
      <c r="A66" s="49" t="s">
        <v>85</v>
      </c>
      <c r="B66" s="66">
        <f>(B9/B14)/2/PI()/B63/B65*1000000</f>
        <v>2060.9384727890156</v>
      </c>
      <c r="C66" s="56" t="s">
        <v>14</v>
      </c>
    </row>
    <row r="67" spans="1:8" ht="18.75">
      <c r="A67" s="46" t="s">
        <v>47</v>
      </c>
      <c r="B67" s="51">
        <v>15</v>
      </c>
      <c r="C67" s="52" t="s">
        <v>166</v>
      </c>
    </row>
    <row r="68" spans="1:8" ht="18.75">
      <c r="A68" s="53" t="s">
        <v>50</v>
      </c>
      <c r="B68" s="19">
        <v>300</v>
      </c>
      <c r="C68" s="54" t="s">
        <v>4</v>
      </c>
      <c r="D68" s="1" t="s">
        <v>153</v>
      </c>
    </row>
    <row r="69" spans="1:8" ht="19.5" thickBot="1">
      <c r="A69" s="49" t="s">
        <v>84</v>
      </c>
      <c r="B69" s="67">
        <f>2*B9*B67/1000/(B14*B14-B68*B68)*1000000</f>
        <v>2327.4216822603921</v>
      </c>
      <c r="C69" s="56" t="s">
        <v>14</v>
      </c>
    </row>
    <row r="70" spans="1:8" ht="18.75">
      <c r="A70" s="45" t="s">
        <v>46</v>
      </c>
      <c r="B70" s="57">
        <v>2040</v>
      </c>
      <c r="C70" s="58" t="s">
        <v>126</v>
      </c>
      <c r="D70" s="1" t="s">
        <v>151</v>
      </c>
    </row>
    <row r="71" spans="1:8" ht="18.75">
      <c r="C71" s="25"/>
      <c r="D71" s="1" t="s">
        <v>152</v>
      </c>
    </row>
    <row r="72" spans="1:8">
      <c r="C72" s="25"/>
    </row>
    <row r="73" spans="1:8" ht="17.25" customHeight="1">
      <c r="A73" s="8" t="s">
        <v>113</v>
      </c>
      <c r="C73" s="25"/>
    </row>
    <row r="74" spans="1:8" ht="17.25" customHeight="1">
      <c r="A74" s="3"/>
      <c r="B74" s="4"/>
      <c r="C74" s="26"/>
    </row>
    <row r="75" spans="1:8" ht="18.75">
      <c r="A75" s="5" t="s">
        <v>48</v>
      </c>
      <c r="B75" s="32">
        <v>3.7</v>
      </c>
      <c r="C75" s="27" t="s">
        <v>9</v>
      </c>
    </row>
    <row r="76" spans="1:8">
      <c r="A76" s="93" t="s">
        <v>49</v>
      </c>
      <c r="B76" s="68">
        <f>B75*1000*2.5/(B14-2.5)</f>
        <v>23.687580025608195</v>
      </c>
      <c r="C76" s="17" t="s">
        <v>11</v>
      </c>
    </row>
    <row r="77" spans="1:8" ht="15">
      <c r="A77" s="94"/>
      <c r="B77" s="37">
        <v>23.7</v>
      </c>
      <c r="C77" s="39" t="s">
        <v>123</v>
      </c>
    </row>
    <row r="78" spans="1:8" ht="19.5" thickBot="1">
      <c r="A78" s="43" t="s">
        <v>37</v>
      </c>
      <c r="B78" s="69">
        <f>2.5/RFBB*(RFBA*1000+RFBB)</f>
        <v>392.79535864978902</v>
      </c>
      <c r="C78" s="44" t="s">
        <v>4</v>
      </c>
      <c r="D78" s="1" t="s">
        <v>139</v>
      </c>
      <c r="H78"/>
    </row>
    <row r="79" spans="1:8" ht="18.75">
      <c r="A79" s="46" t="s">
        <v>120</v>
      </c>
      <c r="B79" s="47">
        <v>350</v>
      </c>
      <c r="C79" s="48" t="s">
        <v>4</v>
      </c>
      <c r="D79" s="1" t="s">
        <v>150</v>
      </c>
    </row>
    <row r="80" spans="1:8" ht="19.5" thickBot="1">
      <c r="A80" s="49" t="s">
        <v>122</v>
      </c>
      <c r="B80" s="70">
        <f>4*(2.5-B79*(B77/(1000*B75+RFBB)))</f>
        <v>1.0895077476703268</v>
      </c>
      <c r="C80" s="50" t="s">
        <v>4</v>
      </c>
    </row>
    <row r="81" spans="1:4" ht="18.75" customHeight="1">
      <c r="A81" s="46" t="s">
        <v>122</v>
      </c>
      <c r="B81" s="47">
        <v>0.85</v>
      </c>
      <c r="C81" s="48" t="s">
        <v>4</v>
      </c>
      <c r="D81" s="1" t="s">
        <v>149</v>
      </c>
    </row>
    <row r="82" spans="1:4" ht="19.5" thickBot="1">
      <c r="A82" s="49" t="s">
        <v>120</v>
      </c>
      <c r="B82" s="71">
        <f>(2.5-(B81/4))/B77*(B77+1000*B75)</f>
        <v>359.40775316455694</v>
      </c>
      <c r="C82" s="50" t="s">
        <v>4</v>
      </c>
      <c r="D82" s="1" t="s">
        <v>147</v>
      </c>
    </row>
    <row r="83" spans="1:4">
      <c r="C83" s="25"/>
    </row>
    <row r="84" spans="1:4">
      <c r="C84" s="25"/>
    </row>
    <row r="85" spans="1:4" ht="15">
      <c r="A85" s="8" t="s">
        <v>114</v>
      </c>
      <c r="C85" s="25"/>
    </row>
    <row r="86" spans="1:4" ht="15.75">
      <c r="A86" s="3"/>
      <c r="B86" s="4"/>
      <c r="C86" s="26"/>
    </row>
    <row r="87" spans="1:4" ht="18.75">
      <c r="A87" s="5" t="s">
        <v>52</v>
      </c>
      <c r="B87" s="19">
        <v>130</v>
      </c>
      <c r="C87" s="27" t="s">
        <v>2</v>
      </c>
      <c r="D87" s="1" t="s">
        <v>179</v>
      </c>
    </row>
    <row r="88" spans="1:4" ht="18.75">
      <c r="A88" s="43" t="s">
        <v>180</v>
      </c>
      <c r="B88" s="60">
        <v>4.1500000000000004</v>
      </c>
      <c r="C88" s="27" t="s">
        <v>106</v>
      </c>
      <c r="D88" s="1" t="s">
        <v>184</v>
      </c>
    </row>
    <row r="89" spans="1:4" ht="21" customHeight="1">
      <c r="A89" s="10" t="s">
        <v>53</v>
      </c>
      <c r="B89" s="63">
        <f>6000*B38*10^6*(VVEAMAX-0.6)/(8*2.465^2*B32^2*10^6*B87/100*Pin/Nch)*1000</f>
        <v>14.994263835133182</v>
      </c>
      <c r="C89" s="12" t="s">
        <v>16</v>
      </c>
      <c r="D89" s="1" t="s">
        <v>148</v>
      </c>
    </row>
    <row r="90" spans="1:4" ht="17.25" customHeight="1" thickBot="1">
      <c r="A90" s="75"/>
      <c r="B90" s="76">
        <v>15</v>
      </c>
      <c r="C90" s="77" t="s">
        <v>127</v>
      </c>
    </row>
    <row r="91" spans="1:4" ht="18.75">
      <c r="A91" s="46" t="s">
        <v>168</v>
      </c>
      <c r="B91" s="78">
        <f>B56*B90/1000</f>
        <v>0.41229655861167774</v>
      </c>
      <c r="C91" s="79" t="s">
        <v>100</v>
      </c>
      <c r="D91" s="1" t="s">
        <v>181</v>
      </c>
    </row>
    <row r="92" spans="1:4" ht="18.75">
      <c r="A92" s="53" t="s">
        <v>169</v>
      </c>
      <c r="B92" s="86">
        <v>1.5</v>
      </c>
      <c r="C92" s="80"/>
    </row>
    <row r="93" spans="1:4" ht="19.5" thickBot="1">
      <c r="A93" s="49" t="s">
        <v>173</v>
      </c>
      <c r="B93" s="81">
        <f>(B91)/(1.2/B22/1000*49.5/48)/1000*B92</f>
        <v>9.9950680875558255</v>
      </c>
      <c r="C93" s="82" t="s">
        <v>123</v>
      </c>
    </row>
    <row r="94" spans="1:4" ht="18.75">
      <c r="A94" s="46" t="s">
        <v>170</v>
      </c>
      <c r="B94" s="78">
        <f>B55*B90/1000</f>
        <v>0.2322797513305227</v>
      </c>
      <c r="C94" s="83" t="s">
        <v>106</v>
      </c>
      <c r="D94" s="1" t="s">
        <v>182</v>
      </c>
    </row>
    <row r="95" spans="1:4" ht="15">
      <c r="A95" s="53" t="s">
        <v>171</v>
      </c>
      <c r="B95" s="86">
        <v>1.8</v>
      </c>
      <c r="C95" s="84"/>
    </row>
    <row r="96" spans="1:4" ht="19.5" thickBot="1">
      <c r="A96" s="49" t="s">
        <v>174</v>
      </c>
      <c r="B96" s="81">
        <f>4*B94*B95/(1.2/B22*49/48/1000)/1000</f>
        <v>27.304721789057364</v>
      </c>
      <c r="C96" s="82" t="s">
        <v>123</v>
      </c>
    </row>
    <row r="99" spans="1:8" ht="15">
      <c r="A99" s="8" t="s">
        <v>115</v>
      </c>
      <c r="C99" s="25"/>
    </row>
    <row r="100" spans="1:8" ht="15.75">
      <c r="A100" s="3"/>
      <c r="B100" s="4"/>
      <c r="C100" s="26"/>
    </row>
    <row r="101" spans="1:8" ht="18.75">
      <c r="A101" s="5" t="s">
        <v>57</v>
      </c>
      <c r="B101" s="19">
        <v>100</v>
      </c>
      <c r="C101" s="27" t="s">
        <v>166</v>
      </c>
    </row>
    <row r="102" spans="1:8" ht="15">
      <c r="A102" s="5" t="s">
        <v>58</v>
      </c>
      <c r="B102" s="35">
        <f>B101/1000*20/5</f>
        <v>0.4</v>
      </c>
      <c r="C102" s="36" t="s">
        <v>128</v>
      </c>
    </row>
    <row r="105" spans="1:8" ht="15">
      <c r="A105" s="8" t="s">
        <v>116</v>
      </c>
      <c r="C105" s="25"/>
    </row>
    <row r="106" spans="1:8" ht="15.75">
      <c r="A106" s="3"/>
      <c r="B106" s="4"/>
      <c r="C106" s="26"/>
    </row>
    <row r="107" spans="1:8" ht="18.75">
      <c r="A107" s="5" t="s">
        <v>60</v>
      </c>
      <c r="B107" s="64">
        <f>(B58/10^6)/(1.5/10^9*B90*((RFBA*1000+RFBB)/RFBB))</f>
        <v>28.28727699152277</v>
      </c>
      <c r="C107" s="36" t="s">
        <v>123</v>
      </c>
      <c r="D107" s="89" t="s">
        <v>183</v>
      </c>
    </row>
    <row r="108" spans="1:8" ht="18.75">
      <c r="A108" s="5" t="s">
        <v>61</v>
      </c>
      <c r="B108" s="64">
        <f>(B38*10^3)/((RFBA*1000+RFBB)/RFBB)/B37</f>
        <v>38.187823938555738</v>
      </c>
      <c r="C108" s="36" t="s">
        <v>123</v>
      </c>
    </row>
    <row r="111" spans="1:8" ht="15">
      <c r="A111" s="8" t="s">
        <v>117</v>
      </c>
    </row>
    <row r="112" spans="1:8" ht="15.75">
      <c r="A112" s="3"/>
      <c r="B112" s="4"/>
      <c r="C112" s="4"/>
      <c r="H112" s="8" t="s">
        <v>118</v>
      </c>
    </row>
    <row r="113" spans="1:26" ht="15.75">
      <c r="A113" s="5" t="s">
        <v>119</v>
      </c>
      <c r="B113" s="73">
        <v>5</v>
      </c>
      <c r="C113" s="74" t="s">
        <v>4</v>
      </c>
      <c r="H113" s="3"/>
      <c r="I113" s="4"/>
      <c r="J113" s="4"/>
    </row>
    <row r="114" spans="1:26">
      <c r="A114" s="5" t="s">
        <v>17</v>
      </c>
      <c r="B114" s="60">
        <f>B21/10</f>
        <v>4</v>
      </c>
      <c r="C114" s="34" t="s">
        <v>6</v>
      </c>
      <c r="H114" s="5" t="s">
        <v>24</v>
      </c>
      <c r="I114" s="60">
        <f>2*B63/5</f>
        <v>20</v>
      </c>
      <c r="J114" s="85" t="s">
        <v>15</v>
      </c>
    </row>
    <row r="115" spans="1:26">
      <c r="A115" s="5" t="s">
        <v>167</v>
      </c>
      <c r="B115" s="72">
        <f>(B90/1000)*B14/B113/(B114*1000)/2/PI()/(B58/1000000)</f>
        <v>0.46910919476336149</v>
      </c>
      <c r="C115" s="12"/>
      <c r="H115" s="21" t="s">
        <v>25</v>
      </c>
      <c r="I115" s="31">
        <f>(100/1000000)*(B10*B16)*(B87/100)/5/(B70/1000000)/(2*PI()*I114)^2*(2.5/B78)*1000000000</f>
        <v>68.794063416526853</v>
      </c>
      <c r="J115" s="12" t="s">
        <v>19</v>
      </c>
    </row>
    <row r="116" spans="1:26" ht="15">
      <c r="A116" s="21" t="s">
        <v>18</v>
      </c>
      <c r="B116" s="62">
        <f>1/(88/1000000)/B115/1000</f>
        <v>24.223861929137122</v>
      </c>
      <c r="C116" s="17" t="s">
        <v>11</v>
      </c>
      <c r="H116" s="22"/>
      <c r="I116" s="40">
        <v>68</v>
      </c>
      <c r="J116" s="42" t="s">
        <v>129</v>
      </c>
    </row>
    <row r="117" spans="1:26" ht="15">
      <c r="A117" s="22"/>
      <c r="B117" s="40">
        <v>24.3</v>
      </c>
      <c r="C117" s="42" t="s">
        <v>123</v>
      </c>
      <c r="H117" s="21" t="s">
        <v>23</v>
      </c>
      <c r="I117" s="62">
        <f>1/2/PI()/I114/(I116/1000000000)/1000</f>
        <v>117.02569344992304</v>
      </c>
      <c r="J117" s="17" t="s">
        <v>11</v>
      </c>
    </row>
    <row r="118" spans="1:26" ht="15">
      <c r="A118" s="21" t="s">
        <v>21</v>
      </c>
      <c r="B118" s="62">
        <f>1/((B117*1000)*2*PI()*(B114*1000)/3)*1000000000</f>
        <v>4.9121896016017086</v>
      </c>
      <c r="C118" s="17" t="s">
        <v>20</v>
      </c>
      <c r="H118" s="22"/>
      <c r="I118" s="40">
        <v>118</v>
      </c>
      <c r="J118" s="42" t="s">
        <v>123</v>
      </c>
    </row>
    <row r="119" spans="1:26" ht="15">
      <c r="A119" s="22"/>
      <c r="B119" s="40">
        <v>4.7</v>
      </c>
      <c r="C119" s="42" t="s">
        <v>129</v>
      </c>
      <c r="D119" s="13"/>
      <c r="E119" s="13"/>
      <c r="F119" s="13"/>
      <c r="G119" s="13"/>
      <c r="H119" s="21" t="s">
        <v>26</v>
      </c>
      <c r="I119" s="31">
        <f>1/2/PI()/(I114*10)/(I118*1000)*1000000000</f>
        <v>6.7438535208430235</v>
      </c>
      <c r="J119" s="12" t="s">
        <v>19</v>
      </c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5">
      <c r="A120" s="21" t="s">
        <v>22</v>
      </c>
      <c r="B120" s="31">
        <f>1/(2*PI()*(10*B114*1000)*(B116*1000))*1000000000</f>
        <v>0.16425430383218484</v>
      </c>
      <c r="C120" s="12" t="s">
        <v>19</v>
      </c>
      <c r="D120" s="29"/>
      <c r="E120" s="29"/>
      <c r="F120" s="29"/>
      <c r="G120" s="29"/>
      <c r="H120" s="22"/>
      <c r="I120" s="40">
        <v>6.8</v>
      </c>
      <c r="J120" s="42" t="s">
        <v>129</v>
      </c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13"/>
    </row>
    <row r="121" spans="1:26" ht="15">
      <c r="A121" s="22"/>
      <c r="B121" s="40">
        <v>0.15</v>
      </c>
      <c r="C121" s="42" t="s">
        <v>129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13"/>
    </row>
    <row r="122" spans="1:26">
      <c r="A122" s="13"/>
      <c r="B122" s="13"/>
      <c r="C122" s="13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13"/>
    </row>
    <row r="123" spans="1:26">
      <c r="A123" s="90"/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29"/>
      <c r="Z123" s="13"/>
    </row>
    <row r="124" spans="1:26">
      <c r="A124" s="90"/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29"/>
      <c r="Z124" s="13"/>
    </row>
    <row r="125" spans="1:26">
      <c r="A125" s="90"/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29"/>
      <c r="Z125" s="13"/>
    </row>
    <row r="126" spans="1:26">
      <c r="A126" s="90"/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29"/>
      <c r="Z126" s="13"/>
    </row>
    <row r="127" spans="1:26">
      <c r="A127" s="90"/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29"/>
      <c r="Z127" s="13"/>
    </row>
    <row r="128" spans="1:26">
      <c r="A128" s="90"/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29"/>
      <c r="Z128" s="13"/>
    </row>
    <row r="129" spans="1:26">
      <c r="A129" s="90"/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29"/>
      <c r="Z129" s="13"/>
    </row>
    <row r="130" spans="1:26">
      <c r="A130" s="90"/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29"/>
      <c r="Z130" s="13"/>
    </row>
    <row r="131" spans="1:26">
      <c r="A131" s="90"/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14"/>
      <c r="Z131" s="14"/>
    </row>
    <row r="132" spans="1:26">
      <c r="A132" s="90"/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14"/>
      <c r="Z132" s="14"/>
    </row>
    <row r="133" spans="1:26">
      <c r="A133" s="90"/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14"/>
      <c r="Z133" s="14"/>
    </row>
    <row r="134" spans="1:26">
      <c r="A134" s="90"/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14"/>
      <c r="Z134" s="14"/>
    </row>
    <row r="135" spans="1:26">
      <c r="A135" s="90"/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14"/>
      <c r="Z135" s="14"/>
    </row>
    <row r="136" spans="1:26">
      <c r="A136" s="90"/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14"/>
      <c r="Z136" s="14"/>
    </row>
    <row r="137" spans="1:26">
      <c r="A137" s="90"/>
      <c r="B137" s="90"/>
      <c r="C137" s="90"/>
      <c r="D137" s="91"/>
      <c r="E137" s="92"/>
      <c r="F137" s="91"/>
      <c r="G137" s="91"/>
      <c r="H137" s="91"/>
      <c r="I137" s="91"/>
      <c r="J137" s="91"/>
      <c r="K137" s="91"/>
      <c r="L137" s="91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14"/>
      <c r="Z137" s="14"/>
    </row>
    <row r="138" spans="1:26">
      <c r="A138" s="14"/>
      <c r="B138" s="14"/>
      <c r="C138" s="14"/>
      <c r="D138" s="6"/>
      <c r="E138" s="7"/>
      <c r="F138" s="6"/>
      <c r="G138" s="6"/>
      <c r="H138" s="6"/>
      <c r="I138" s="6"/>
      <c r="J138" s="6"/>
      <c r="K138" s="6"/>
      <c r="L138" s="6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>
      <c r="A139" s="14" t="s">
        <v>86</v>
      </c>
      <c r="B139" s="14">
        <f>B58/1000000</f>
        <v>1E-4</v>
      </c>
      <c r="C139" s="14"/>
      <c r="D139" s="6"/>
      <c r="E139" s="6"/>
      <c r="F139" s="6"/>
      <c r="G139" s="6"/>
      <c r="H139" s="6"/>
      <c r="I139" s="6"/>
      <c r="J139" s="6"/>
      <c r="K139" s="6"/>
      <c r="L139" s="6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>
      <c r="A140" s="14" t="s">
        <v>62</v>
      </c>
      <c r="B140" s="14">
        <f>B14*B14/B13</f>
        <v>88.035930000000008</v>
      </c>
      <c r="C140" s="14"/>
      <c r="D140" s="6"/>
      <c r="E140" s="6"/>
      <c r="F140" s="6"/>
      <c r="G140" s="6"/>
      <c r="H140" s="6"/>
      <c r="I140" s="6"/>
      <c r="J140" s="6"/>
      <c r="K140" s="6"/>
      <c r="L140" s="6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>
      <c r="A141" s="14" t="s">
        <v>63</v>
      </c>
      <c r="B141" s="14">
        <f>B70/1000000</f>
        <v>2.0400000000000001E-3</v>
      </c>
      <c r="C141" s="14"/>
      <c r="D141" s="6"/>
      <c r="E141" s="6"/>
      <c r="F141" s="6"/>
      <c r="G141" s="6"/>
      <c r="H141" s="6"/>
      <c r="I141" s="6"/>
      <c r="J141" s="6"/>
      <c r="K141" s="6"/>
      <c r="L141" s="6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>
      <c r="A142" s="14" t="s">
        <v>64</v>
      </c>
      <c r="B142" s="14">
        <f>B42*1.414</f>
        <v>240.38</v>
      </c>
      <c r="C142" s="14"/>
      <c r="D142" s="6"/>
      <c r="E142" s="6"/>
      <c r="F142" s="6"/>
      <c r="G142" s="6"/>
      <c r="H142" s="6"/>
      <c r="I142" s="6"/>
      <c r="J142" s="6"/>
      <c r="K142" s="6"/>
      <c r="L142" s="6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>
      <c r="A143" s="14" t="s">
        <v>87</v>
      </c>
      <c r="B143" s="14">
        <f>B78</f>
        <v>392.79535864978902</v>
      </c>
      <c r="C143" s="14"/>
      <c r="D143" s="6"/>
      <c r="E143" s="6"/>
      <c r="F143" s="6"/>
      <c r="G143" s="6"/>
      <c r="H143" s="6"/>
      <c r="I143" s="6"/>
      <c r="J143" s="6"/>
      <c r="K143" s="6"/>
      <c r="L143" s="6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>
      <c r="A144" s="14" t="s">
        <v>65</v>
      </c>
      <c r="B144" s="14">
        <f>B13</f>
        <v>1754.3859649122805</v>
      </c>
      <c r="C144" s="14"/>
      <c r="D144" s="6"/>
      <c r="E144" s="6"/>
      <c r="F144" s="6"/>
      <c r="G144" s="6"/>
      <c r="H144" s="6"/>
      <c r="I144" s="6"/>
      <c r="J144" s="6"/>
      <c r="K144" s="6"/>
      <c r="L144" s="6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>
      <c r="A145" s="14" t="s">
        <v>66</v>
      </c>
      <c r="B145" s="14">
        <f>1-B142/B143</f>
        <v>0.38802739210999815</v>
      </c>
      <c r="C145" s="14"/>
      <c r="D145" s="6"/>
      <c r="E145" s="6"/>
      <c r="F145" s="6"/>
      <c r="G145" s="6"/>
      <c r="H145" s="6"/>
      <c r="I145" s="6"/>
      <c r="J145" s="6"/>
      <c r="K145" s="6"/>
      <c r="L145" s="6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>
      <c r="A146" s="14" t="s">
        <v>67</v>
      </c>
      <c r="B146" s="14">
        <f>B90/1000*2</f>
        <v>0.03</v>
      </c>
      <c r="C146" s="14"/>
      <c r="D146" s="6"/>
      <c r="E146" s="6"/>
      <c r="F146" s="6"/>
      <c r="G146" s="6"/>
      <c r="H146" s="6"/>
      <c r="I146" s="6"/>
      <c r="J146" s="6"/>
      <c r="K146" s="6"/>
      <c r="L146" s="6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>
      <c r="A147" s="14" t="s">
        <v>68</v>
      </c>
      <c r="B147" s="14">
        <f>B113</f>
        <v>5</v>
      </c>
      <c r="C147" s="14"/>
      <c r="D147" s="6"/>
      <c r="E147" s="6"/>
      <c r="F147" s="6"/>
      <c r="G147" s="6"/>
      <c r="H147" s="6"/>
      <c r="I147" s="6"/>
      <c r="J147" s="6"/>
      <c r="K147" s="6"/>
      <c r="L147" s="6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>
      <c r="A148" s="14" t="s">
        <v>69</v>
      </c>
      <c r="B148" s="14">
        <f>88/1000000</f>
        <v>8.7999999999999998E-5</v>
      </c>
      <c r="C148" s="14"/>
      <c r="D148" s="6"/>
      <c r="E148" s="6"/>
      <c r="F148" s="6"/>
      <c r="G148" s="6"/>
      <c r="H148" s="6"/>
      <c r="I148" s="6"/>
      <c r="J148" s="6"/>
      <c r="K148" s="6"/>
      <c r="L148" s="6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>
      <c r="A149" s="14" t="s">
        <v>70</v>
      </c>
      <c r="B149" s="14">
        <f>70/1000000</f>
        <v>6.9999999999999994E-5</v>
      </c>
      <c r="C149" s="14"/>
      <c r="D149" s="6"/>
      <c r="E149" s="6"/>
      <c r="F149" s="6"/>
      <c r="G149" s="6"/>
      <c r="H149" s="6"/>
      <c r="I149" s="6"/>
      <c r="J149" s="6"/>
      <c r="K149" s="6"/>
      <c r="L149" s="6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>
      <c r="A150" s="14" t="s">
        <v>71</v>
      </c>
      <c r="B150" s="14">
        <f>B117*1000</f>
        <v>24300</v>
      </c>
      <c r="C150" s="14"/>
      <c r="D150" s="6"/>
      <c r="E150" s="6"/>
      <c r="F150" s="6"/>
      <c r="G150" s="6"/>
      <c r="H150" s="6"/>
      <c r="I150" s="6"/>
      <c r="J150" s="6"/>
      <c r="K150" s="6"/>
      <c r="L150" s="6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>
      <c r="A151" s="14" t="s">
        <v>21</v>
      </c>
      <c r="B151" s="14">
        <f>B119/1000000000</f>
        <v>4.6999999999999999E-9</v>
      </c>
      <c r="C151" s="14"/>
      <c r="D151" s="6"/>
      <c r="E151" s="6"/>
      <c r="F151" s="6"/>
      <c r="G151" s="6"/>
      <c r="H151" s="6"/>
      <c r="I151" s="6"/>
      <c r="J151" s="6"/>
      <c r="K151" s="6"/>
      <c r="L151" s="6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>
      <c r="A152" s="14" t="s">
        <v>72</v>
      </c>
      <c r="B152" s="14">
        <f>B121/1000000000</f>
        <v>1.5E-10</v>
      </c>
      <c r="C152" s="14"/>
      <c r="D152" s="6"/>
      <c r="E152" s="6"/>
      <c r="F152" s="6"/>
      <c r="G152" s="6"/>
      <c r="H152" s="6"/>
      <c r="I152" s="6"/>
      <c r="J152" s="6"/>
      <c r="K152" s="6"/>
      <c r="L152" s="6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>
      <c r="A153" s="14"/>
      <c r="B153" s="14"/>
      <c r="C153" s="14"/>
      <c r="D153" s="6"/>
      <c r="E153" s="6"/>
      <c r="F153" s="6"/>
      <c r="G153" s="6"/>
      <c r="H153" s="6"/>
      <c r="I153" s="6"/>
      <c r="J153" s="6"/>
      <c r="K153" s="6"/>
      <c r="L153" s="6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>
      <c r="A154" s="14" t="s">
        <v>73</v>
      </c>
      <c r="B154" s="14">
        <f>I118*1000</f>
        <v>118000</v>
      </c>
      <c r="C154" s="14"/>
      <c r="D154" s="6"/>
      <c r="E154" s="6"/>
      <c r="F154" s="6"/>
      <c r="G154" s="6"/>
      <c r="H154" s="6"/>
      <c r="I154" s="6"/>
      <c r="J154" s="6"/>
      <c r="K154" s="6"/>
      <c r="L154" s="6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>
      <c r="A155" s="14" t="s">
        <v>74</v>
      </c>
      <c r="B155" s="14">
        <f>I116/1000000000</f>
        <v>6.8E-8</v>
      </c>
      <c r="C155" s="14"/>
      <c r="D155" s="14">
        <f>2*B143/(1-B145)^2/B140</f>
        <v>23.827167611447805</v>
      </c>
      <c r="E155" s="6"/>
      <c r="F155" s="6"/>
      <c r="G155" s="6"/>
      <c r="H155" s="6"/>
      <c r="I155" s="6"/>
      <c r="J155" s="6"/>
      <c r="K155" s="6"/>
      <c r="L155" s="6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>
      <c r="A156" s="14" t="s">
        <v>26</v>
      </c>
      <c r="B156" s="14">
        <f>I120/1000000000</f>
        <v>6.7999999999999997E-9</v>
      </c>
      <c r="C156" s="14"/>
      <c r="D156" s="14">
        <f>B146/B147</f>
        <v>6.0000000000000001E-3</v>
      </c>
      <c r="E156" s="6"/>
      <c r="F156" s="6"/>
      <c r="G156" s="6"/>
      <c r="H156" s="6"/>
      <c r="I156" s="6"/>
      <c r="J156" s="6"/>
      <c r="K156" s="6"/>
      <c r="L156" s="6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>
      <c r="A158" s="14" t="s">
        <v>75</v>
      </c>
      <c r="B158" s="14">
        <f>B148/2/PI()/B151</f>
        <v>2979.9223387418706</v>
      </c>
      <c r="C158" s="14"/>
      <c r="D158" s="14">
        <f>AA*EE</f>
        <v>0.14296300566868683</v>
      </c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>
      <c r="A159" s="14" t="s">
        <v>76</v>
      </c>
      <c r="B159" s="14">
        <f>1/2/PI()/B150/B151</f>
        <v>1393.5289649933923</v>
      </c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>
      <c r="A160" s="14" t="s">
        <v>77</v>
      </c>
      <c r="B160" s="14">
        <f>1/2/PI()/B150/B152</f>
        <v>43663.907569792958</v>
      </c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5">
      <c r="A162" s="14" t="s">
        <v>78</v>
      </c>
      <c r="B162" s="14">
        <f>GMV/2/PI()/B155</f>
        <v>163.83597082989223</v>
      </c>
      <c r="C162" s="14"/>
      <c r="D162" s="14"/>
      <c r="E162" s="15" t="s">
        <v>89</v>
      </c>
      <c r="F162" s="15" t="s">
        <v>90</v>
      </c>
      <c r="G162" s="14" t="s">
        <v>91</v>
      </c>
      <c r="H162" s="14" t="s">
        <v>27</v>
      </c>
      <c r="I162" s="14" t="s">
        <v>92</v>
      </c>
      <c r="J162" s="14" t="s">
        <v>28</v>
      </c>
      <c r="K162" s="14" t="s">
        <v>29</v>
      </c>
      <c r="L162" s="14" t="s">
        <v>93</v>
      </c>
      <c r="M162" s="14" t="s">
        <v>34</v>
      </c>
      <c r="N162" s="14" t="s">
        <v>30</v>
      </c>
      <c r="O162" s="15" t="s">
        <v>94</v>
      </c>
      <c r="P162" s="14" t="s">
        <v>95</v>
      </c>
      <c r="Q162" s="14" t="s">
        <v>96</v>
      </c>
      <c r="R162" s="14" t="s">
        <v>31</v>
      </c>
      <c r="S162" s="14" t="s">
        <v>32</v>
      </c>
      <c r="T162" s="14" t="s">
        <v>28</v>
      </c>
      <c r="U162" s="14" t="s">
        <v>97</v>
      </c>
      <c r="V162" s="14" t="s">
        <v>35</v>
      </c>
      <c r="W162" s="14" t="s">
        <v>33</v>
      </c>
      <c r="X162" s="14" t="s">
        <v>98</v>
      </c>
      <c r="Y162" s="14"/>
      <c r="Z162" s="14"/>
    </row>
    <row r="163" spans="1:26" ht="15">
      <c r="A163" s="14" t="s">
        <v>24</v>
      </c>
      <c r="B163" s="14">
        <f>1/2/PI()/B154/B155</f>
        <v>19.834863296597128</v>
      </c>
      <c r="C163" s="14"/>
      <c r="D163" s="14">
        <v>1</v>
      </c>
      <c r="E163" s="15">
        <f t="shared" ref="E163:E185" si="0" xml:space="preserve"> 2*PI()*D163*(RLOAD*CBULK/2)</f>
        <v>0.56420898311748846</v>
      </c>
      <c r="F163" s="15" t="str">
        <f t="shared" ref="F163:F185" si="1">COMPLEX(1,E163)</f>
        <v>1+0.564208983117488i</v>
      </c>
      <c r="G163" s="15">
        <f t="shared" ref="G163:G185" si="2" xml:space="preserve"> 2*PI()*D163*(L/(1-D)^2/RLOAD)</f>
        <v>1.9057061921833194E-5</v>
      </c>
      <c r="H163" s="14" t="str">
        <f t="shared" ref="H163:H185" si="3">COMPLEX(1,G163)</f>
        <v>1+0.0000190570619218332i</v>
      </c>
      <c r="I163" s="14">
        <f t="shared" ref="I163:I185" si="4" xml:space="preserve"> (2*PI()*D163)^2*(L*CBULK/(1-D)^2)*(-1)</f>
        <v>-2.1504331056249037E-5</v>
      </c>
      <c r="J163" s="14" t="str">
        <f t="shared" ref="J163:J185" si="5">IMDIV(F163,IMSUM(H163,I163))</f>
        <v>1.00003225705828+0.564202058228684i</v>
      </c>
      <c r="K163" s="16" t="str">
        <f t="shared" ref="K163:K185" si="6">IMPRODUCT(J163,kk)</f>
        <v>0.142967617234693+0.0806600220488321i</v>
      </c>
      <c r="L163" s="14">
        <f t="shared" ref="L163:L185" si="7" xml:space="preserve"> 20*LOG10(IMABS(K163))</f>
        <v>-15.695092607490107</v>
      </c>
      <c r="M163" s="14">
        <f t="shared" ref="M163:M185" si="8">IMARGUMENT(K163)*180/PI()</f>
        <v>29.430989758745039</v>
      </c>
      <c r="N163" s="14">
        <f t="shared" ref="N163:N185" si="9">fH/D163*(-1)</f>
        <v>-2979.9223387418706</v>
      </c>
      <c r="O163" s="14" t="str">
        <f t="shared" ref="O163:O185" si="10">COMPLEX(0,N163)</f>
        <v>-2979.92233874187i</v>
      </c>
      <c r="P163" s="14">
        <f t="shared" ref="P163:P185" si="11">D163/fIC</f>
        <v>7.1760259393298062E-4</v>
      </c>
      <c r="Q163" s="14" t="str">
        <f t="shared" ref="Q163:Q185" si="12">COMPLEX(1,P163)</f>
        <v>1+0.000717602593932981i</v>
      </c>
      <c r="R163" s="14">
        <f t="shared" ref="R163:R185" si="13">D163/fIP</f>
        <v>2.2902210444669593E-5</v>
      </c>
      <c r="S163" s="14" t="str">
        <f t="shared" ref="S163:S185" si="14">COMPLEX(1,R163)</f>
        <v>1+0.0000229022104446696i</v>
      </c>
      <c r="T163" s="14" t="str">
        <f t="shared" ref="T163:T185" si="15">IMPRODUCT(O163,IMDIV(Q163,S163))</f>
        <v>2.07015319040354-2979.92238615294i</v>
      </c>
      <c r="U163" s="14">
        <f t="shared" ref="U163:U185" si="16" xml:space="preserve"> 20*LOG10(IMABS(IMPRODUCT(O163,IMDIV(Q163,S163))))</f>
        <v>69.484101151262735</v>
      </c>
      <c r="V163" s="14">
        <f t="shared" ref="V163:V185" si="17">IMARGUMENT(T163)*180/PI()</f>
        <v>-89.960196607057313</v>
      </c>
      <c r="W163" s="14">
        <f t="shared" ref="W163:W185" si="18" xml:space="preserve"> 20*LOG10(IMABS(IMPRODUCT(K163,T163)))</f>
        <v>53.789008543772631</v>
      </c>
      <c r="X163" s="14">
        <f t="shared" ref="X163:X185" si="19">IMARGUMENT(IMPRODUCT(K163,T163))*180/PI()</f>
        <v>-60.529206848312299</v>
      </c>
      <c r="Y163" s="14"/>
      <c r="Z163" s="14"/>
    </row>
    <row r="164" spans="1:26" ht="15">
      <c r="A164" s="14" t="s">
        <v>88</v>
      </c>
      <c r="B164" s="14">
        <f>1/2/PI()/B154/B156</f>
        <v>198.34863296597126</v>
      </c>
      <c r="C164" s="14"/>
      <c r="D164" s="14">
        <v>4</v>
      </c>
      <c r="E164" s="15">
        <f t="shared" si="0"/>
        <v>2.2568359324699538</v>
      </c>
      <c r="F164" s="15" t="str">
        <f t="shared" si="1"/>
        <v>1+2.25683593246995i</v>
      </c>
      <c r="G164" s="15">
        <f t="shared" si="2"/>
        <v>7.6228247687332778E-5</v>
      </c>
      <c r="H164" s="14" t="str">
        <f t="shared" si="3"/>
        <v>1+0.0000762282476873328i</v>
      </c>
      <c r="I164" s="14">
        <f t="shared" si="4"/>
        <v>-3.4406929689998459E-4</v>
      </c>
      <c r="J164" s="14" t="str">
        <f t="shared" si="5"/>
        <v>1.00051633499684+2.25753641382958i</v>
      </c>
      <c r="K164" s="16" t="str">
        <f t="shared" si="6"/>
        <v>0.143036822471767+0.322744191127585i</v>
      </c>
      <c r="L164" s="14">
        <f t="shared" si="7"/>
        <v>-9.0440059437405189</v>
      </c>
      <c r="M164" s="14">
        <f t="shared" si="8"/>
        <v>66.097583819984692</v>
      </c>
      <c r="N164" s="14">
        <f t="shared" si="9"/>
        <v>-744.98058468546765</v>
      </c>
      <c r="O164" s="14" t="str">
        <f t="shared" si="10"/>
        <v>-744.980584685468i</v>
      </c>
      <c r="P164" s="14">
        <f t="shared" si="11"/>
        <v>2.8704103757319225E-3</v>
      </c>
      <c r="Q164" s="14" t="str">
        <f t="shared" si="12"/>
        <v>1+0.00287041037573192i</v>
      </c>
      <c r="R164" s="14">
        <f t="shared" si="13"/>
        <v>9.1608841778678373E-5</v>
      </c>
      <c r="S164" s="14" t="str">
        <f t="shared" si="14"/>
        <v>1+0.0000916088417786784i</v>
      </c>
      <c r="T164" s="14" t="str">
        <f t="shared" si="15"/>
        <v>2.07015317411626-744.980774329804i</v>
      </c>
      <c r="U164" s="14">
        <f t="shared" si="16"/>
        <v>57.442934836606277</v>
      </c>
      <c r="V164" s="14">
        <f t="shared" si="17"/>
        <v>-89.840786851665669</v>
      </c>
      <c r="W164" s="14">
        <f t="shared" si="18"/>
        <v>48.398928892865754</v>
      </c>
      <c r="X164" s="14">
        <f t="shared" si="19"/>
        <v>-23.743203031680906</v>
      </c>
      <c r="Y164" s="14"/>
      <c r="Z164" s="14"/>
    </row>
    <row r="165" spans="1:26" ht="15">
      <c r="A165" s="14"/>
      <c r="B165" s="14"/>
      <c r="C165" s="14"/>
      <c r="D165" s="14">
        <v>9</v>
      </c>
      <c r="E165" s="15">
        <f t="shared" si="0"/>
        <v>5.0778808480573963</v>
      </c>
      <c r="F165" s="15" t="str">
        <f t="shared" si="1"/>
        <v>1+5.0778808480574i</v>
      </c>
      <c r="G165" s="15">
        <f t="shared" si="2"/>
        <v>1.7151355729649875E-4</v>
      </c>
      <c r="H165" s="14" t="str">
        <f t="shared" si="3"/>
        <v>1+0.000171513557296499i</v>
      </c>
      <c r="I165" s="14">
        <f t="shared" si="4"/>
        <v>-1.7418508155561722E-3</v>
      </c>
      <c r="J165" s="14" t="str">
        <f t="shared" si="5"/>
        <v>1.00261882795471+5.08656892957396i</v>
      </c>
      <c r="K165" s="16" t="str">
        <f t="shared" si="6"/>
        <v>0.143337401184421+0.727191182712848i</v>
      </c>
      <c r="L165" s="14">
        <f t="shared" si="7"/>
        <v>-2.601487945135454</v>
      </c>
      <c r="M165" s="14">
        <f t="shared" si="8"/>
        <v>78.849315141204812</v>
      </c>
      <c r="N165" s="14">
        <f t="shared" si="9"/>
        <v>-331.10248208243007</v>
      </c>
      <c r="O165" s="14" t="str">
        <f t="shared" si="10"/>
        <v>-331.10248208243i</v>
      </c>
      <c r="P165" s="14">
        <f t="shared" si="11"/>
        <v>6.4584233453968253E-3</v>
      </c>
      <c r="Q165" s="14" t="str">
        <f t="shared" si="12"/>
        <v>1+0.00645842334539683i</v>
      </c>
      <c r="R165" s="14">
        <f t="shared" si="13"/>
        <v>2.0611989400202635E-4</v>
      </c>
      <c r="S165" s="14" t="str">
        <f t="shared" si="14"/>
        <v>1+0.000206119894002026i</v>
      </c>
      <c r="T165" s="14" t="str">
        <f t="shared" si="15"/>
        <v>2.07015310353806-331.102908782168i</v>
      </c>
      <c r="U165" s="14">
        <f t="shared" si="16"/>
        <v>50.399429689629926</v>
      </c>
      <c r="V165" s="14">
        <f t="shared" si="17"/>
        <v>-89.641774544651</v>
      </c>
      <c r="W165" s="14">
        <f t="shared" si="18"/>
        <v>47.79794174449448</v>
      </c>
      <c r="X165" s="14">
        <f t="shared" si="19"/>
        <v>-10.792459403446195</v>
      </c>
      <c r="Y165" s="14"/>
      <c r="Z165" s="14"/>
    </row>
    <row r="166" spans="1:26" ht="15">
      <c r="A166" s="14" t="s">
        <v>79</v>
      </c>
      <c r="B166" s="14">
        <f>B12/VPFC</f>
        <v>13.399236469668679</v>
      </c>
      <c r="C166" s="14"/>
      <c r="D166" s="6">
        <v>16</v>
      </c>
      <c r="E166" s="15">
        <f t="shared" si="0"/>
        <v>9.0273437298798154</v>
      </c>
      <c r="F166" s="15" t="str">
        <f t="shared" si="1"/>
        <v>1+9.02734372987982i</v>
      </c>
      <c r="G166" s="15">
        <f t="shared" si="2"/>
        <v>3.0491299074933111E-4</v>
      </c>
      <c r="H166" s="14" t="str">
        <f t="shared" si="3"/>
        <v>1+0.000304912990749331i</v>
      </c>
      <c r="I166" s="14">
        <f t="shared" si="4"/>
        <v>-5.5051087503997535E-3</v>
      </c>
      <c r="J166" s="14" t="str">
        <f t="shared" si="5"/>
        <v>1.00831860065507+9.07700618662509i</v>
      </c>
      <c r="K166" s="16" t="str">
        <f t="shared" si="6"/>
        <v>0.144152257821293+1.29767608691319i</v>
      </c>
      <c r="L166" s="14">
        <f t="shared" si="7"/>
        <v>2.3165894129522586</v>
      </c>
      <c r="M166" s="14">
        <f t="shared" si="8"/>
        <v>83.661290008294813</v>
      </c>
      <c r="N166" s="14">
        <f t="shared" si="9"/>
        <v>-186.24514617136691</v>
      </c>
      <c r="O166" s="14" t="str">
        <f t="shared" si="10"/>
        <v>-186.245146171367i</v>
      </c>
      <c r="P166" s="14">
        <f t="shared" si="11"/>
        <v>1.148164150292769E-2</v>
      </c>
      <c r="Q166" s="14" t="str">
        <f t="shared" si="12"/>
        <v>1+0.0114816415029277i</v>
      </c>
      <c r="R166" s="14">
        <f t="shared" si="13"/>
        <v>3.6643536711471349E-4</v>
      </c>
      <c r="S166" s="14" t="str">
        <f t="shared" si="14"/>
        <v>1+0.000366435367114713i</v>
      </c>
      <c r="T166" s="14" t="str">
        <f t="shared" si="15"/>
        <v>2.07015291351983-186.245904748609i</v>
      </c>
      <c r="U166" s="14">
        <f t="shared" si="16"/>
        <v>45.402271165253332</v>
      </c>
      <c r="V166" s="14">
        <f t="shared" si="17"/>
        <v>-89.363174504459778</v>
      </c>
      <c r="W166" s="14">
        <f t="shared" si="18"/>
        <v>47.7188605782056</v>
      </c>
      <c r="X166" s="14">
        <f t="shared" si="19"/>
        <v>-5.7018844961649569</v>
      </c>
      <c r="Y166" s="14"/>
      <c r="Z166" s="14"/>
    </row>
    <row r="167" spans="1:26" ht="15">
      <c r="A167" s="14" t="s">
        <v>80</v>
      </c>
      <c r="B167" s="14">
        <f>6*100/B87</f>
        <v>4.615384615384615</v>
      </c>
      <c r="C167" s="14"/>
      <c r="D167" s="6">
        <v>25</v>
      </c>
      <c r="E167" s="15">
        <f t="shared" si="0"/>
        <v>14.105224577937213</v>
      </c>
      <c r="F167" s="15" t="str">
        <f t="shared" si="1"/>
        <v>1+14.1052245779372i</v>
      </c>
      <c r="G167" s="15">
        <f t="shared" si="2"/>
        <v>4.7642654804582992E-4</v>
      </c>
      <c r="H167" s="14" t="str">
        <f t="shared" si="3"/>
        <v>1+0.00047642654804583i</v>
      </c>
      <c r="I167" s="14">
        <f t="shared" si="4"/>
        <v>-1.344020691015565E-2</v>
      </c>
      <c r="J167" s="14" t="str">
        <f t="shared" si="5"/>
        <v>1.02052751971243+14.296891552167i</v>
      </c>
      <c r="K167" s="16" t="str">
        <f t="shared" si="6"/>
        <v>0.145897681585699+2.04392658801705i</v>
      </c>
      <c r="L167" s="14">
        <f t="shared" si="7"/>
        <v>6.2313781034804698</v>
      </c>
      <c r="M167" s="14">
        <f t="shared" si="8"/>
        <v>85.917090634288641</v>
      </c>
      <c r="N167" s="14">
        <f t="shared" si="9"/>
        <v>-119.19689354967483</v>
      </c>
      <c r="O167" s="14" t="str">
        <f t="shared" si="10"/>
        <v>-119.196893549675i</v>
      </c>
      <c r="P167" s="14">
        <f t="shared" si="11"/>
        <v>1.7940064848324513E-2</v>
      </c>
      <c r="Q167" s="14" t="str">
        <f t="shared" si="12"/>
        <v>1+0.0179400648483245i</v>
      </c>
      <c r="R167" s="14">
        <f t="shared" si="13"/>
        <v>5.7255526111673987E-4</v>
      </c>
      <c r="S167" s="14" t="str">
        <f t="shared" si="14"/>
        <v>1+0.00057255526111674i</v>
      </c>
      <c r="T167" s="14" t="str">
        <f t="shared" si="15"/>
        <v>2.07015251285294-119.198078826388i</v>
      </c>
      <c r="U167" s="14">
        <f t="shared" si="16"/>
        <v>41.526694854201011</v>
      </c>
      <c r="V167" s="14">
        <f t="shared" si="17"/>
        <v>-89.005025249195327</v>
      </c>
      <c r="W167" s="14">
        <f t="shared" si="18"/>
        <v>47.758072957681492</v>
      </c>
      <c r="X167" s="14">
        <f t="shared" si="19"/>
        <v>-3.0879346149066751</v>
      </c>
      <c r="Y167" s="14"/>
      <c r="Z167" s="14"/>
    </row>
    <row r="168" spans="1:26" ht="15">
      <c r="A168" s="14" t="s">
        <v>81</v>
      </c>
      <c r="B168" s="14">
        <v>10</v>
      </c>
      <c r="C168" s="14"/>
      <c r="D168" s="6">
        <v>40</v>
      </c>
      <c r="E168" s="15">
        <f t="shared" si="0"/>
        <v>22.568359324699539</v>
      </c>
      <c r="F168" s="15" t="str">
        <f t="shared" si="1"/>
        <v>1+22.5683593246995i</v>
      </c>
      <c r="G168" s="15">
        <f t="shared" si="2"/>
        <v>7.622824768733278E-4</v>
      </c>
      <c r="H168" s="14" t="str">
        <f t="shared" si="3"/>
        <v>1+0.000762282476873328i</v>
      </c>
      <c r="I168" s="14">
        <f t="shared" si="4"/>
        <v>-3.4406929689998464E-2</v>
      </c>
      <c r="J168" s="14" t="str">
        <f t="shared" si="5"/>
        <v>1.05408362178507+23.3717044054388i</v>
      </c>
      <c r="K168" s="16" t="str">
        <f t="shared" si="6"/>
        <v>0.150694962796529+3.34128910940162i</v>
      </c>
      <c r="L168" s="14">
        <f t="shared" si="7"/>
        <v>10.487106055177616</v>
      </c>
      <c r="M168" s="14">
        <f t="shared" si="8"/>
        <v>87.417661869960924</v>
      </c>
      <c r="N168" s="14">
        <f t="shared" si="9"/>
        <v>-74.498058468546759</v>
      </c>
      <c r="O168" s="14" t="str">
        <f t="shared" si="10"/>
        <v>-74.4980584685468i</v>
      </c>
      <c r="P168" s="14">
        <f t="shared" si="11"/>
        <v>2.8704103757319223E-2</v>
      </c>
      <c r="Q168" s="14" t="str">
        <f t="shared" si="12"/>
        <v>1+0.0287041037573192i</v>
      </c>
      <c r="R168" s="14">
        <f t="shared" si="13"/>
        <v>9.160884177867837E-4</v>
      </c>
      <c r="S168" s="14" t="str">
        <f t="shared" si="14"/>
        <v>1+0.000916088417786784i</v>
      </c>
      <c r="T168" s="14" t="str">
        <f t="shared" si="15"/>
        <v>2.07015145418102-74.4999549103169i</v>
      </c>
      <c r="U168" s="14">
        <f t="shared" si="16"/>
        <v>37.446472235885871</v>
      </c>
      <c r="V168" s="14">
        <f t="shared" si="17"/>
        <v>-88.408315444746947</v>
      </c>
      <c r="W168" s="14">
        <f t="shared" si="18"/>
        <v>47.933578291063498</v>
      </c>
      <c r="X168" s="14">
        <f t="shared" si="19"/>
        <v>-0.99065357478599581</v>
      </c>
      <c r="Y168" s="14"/>
      <c r="Z168" s="14"/>
    </row>
    <row r="169" spans="1:26" ht="15">
      <c r="A169" s="14" t="s">
        <v>82</v>
      </c>
      <c r="B169" s="14">
        <f>B168/100*B167</f>
        <v>0.46153846153846151</v>
      </c>
      <c r="C169" s="14"/>
      <c r="D169" s="6">
        <v>63</v>
      </c>
      <c r="E169" s="15">
        <f t="shared" si="0"/>
        <v>35.545165936401773</v>
      </c>
      <c r="F169" s="15" t="str">
        <f t="shared" si="1"/>
        <v>1+35.5451659364018i</v>
      </c>
      <c r="G169" s="15">
        <f t="shared" si="2"/>
        <v>1.2005949010754915E-3</v>
      </c>
      <c r="H169" s="14" t="str">
        <f t="shared" si="3"/>
        <v>1+0.00120059490107549i</v>
      </c>
      <c r="I169" s="14">
        <f t="shared" si="4"/>
        <v>-8.5350689962252438E-2</v>
      </c>
      <c r="J169" s="14" t="str">
        <f t="shared" si="5"/>
        <v>1.14432470322344+38.860568390448i</v>
      </c>
      <c r="K169" s="16" t="str">
        <f t="shared" si="6"/>
        <v>0.163596099033751+5.55562365909201i</v>
      </c>
      <c r="L169" s="14">
        <f t="shared" si="7"/>
        <v>14.898420606043866</v>
      </c>
      <c r="M169" s="14">
        <f t="shared" si="8"/>
        <v>88.313302210714909</v>
      </c>
      <c r="N169" s="14">
        <f t="shared" si="9"/>
        <v>-47.300354583204296</v>
      </c>
      <c r="O169" s="14" t="str">
        <f t="shared" si="10"/>
        <v>-47.3003545832043i</v>
      </c>
      <c r="P169" s="14">
        <f t="shared" si="11"/>
        <v>4.5208963417777775E-2</v>
      </c>
      <c r="Q169" s="14" t="str">
        <f t="shared" si="12"/>
        <v>1+0.0452089634177778i</v>
      </c>
      <c r="R169" s="14">
        <f t="shared" si="13"/>
        <v>1.4428392580141845E-3</v>
      </c>
      <c r="S169" s="14" t="str">
        <f t="shared" si="14"/>
        <v>1+0.00144283925801418i</v>
      </c>
      <c r="T169" s="14" t="str">
        <f t="shared" si="15"/>
        <v>2.07014888188422-47.303341475281i</v>
      </c>
      <c r="U169" s="14">
        <f t="shared" si="16"/>
        <v>33.506146157772505</v>
      </c>
      <c r="V169" s="14">
        <f t="shared" si="17"/>
        <v>-87.494148298520599</v>
      </c>
      <c r="W169" s="14">
        <f t="shared" si="18"/>
        <v>48.404566763816376</v>
      </c>
      <c r="X169" s="14">
        <f t="shared" si="19"/>
        <v>0.81915391219428191</v>
      </c>
      <c r="Y169" s="14"/>
      <c r="Z169" s="14"/>
    </row>
    <row r="170" spans="1:26" ht="15">
      <c r="A170" s="14"/>
      <c r="B170" s="14"/>
      <c r="C170" s="14"/>
      <c r="D170" s="6">
        <v>100</v>
      </c>
      <c r="E170" s="15">
        <f t="shared" si="0"/>
        <v>56.42089831174885</v>
      </c>
      <c r="F170" s="15" t="str">
        <f t="shared" si="1"/>
        <v>1+56.4208983117489i</v>
      </c>
      <c r="G170" s="15">
        <f t="shared" si="2"/>
        <v>1.9057061921833197E-3</v>
      </c>
      <c r="H170" s="14" t="str">
        <f t="shared" si="3"/>
        <v>1+0.00190570619218332i</v>
      </c>
      <c r="I170" s="14">
        <f t="shared" si="4"/>
        <v>-0.2150433105624904</v>
      </c>
      <c r="J170" s="14" t="str">
        <f t="shared" si="5"/>
        <v>1.44845076520927+71.8742049712132i</v>
      </c>
      <c r="K170" s="16" t="str">
        <f t="shared" si="6"/>
        <v>0.207074874957427+10.2753523727319i</v>
      </c>
      <c r="L170" s="14">
        <f t="shared" si="7"/>
        <v>20.2376979084192</v>
      </c>
      <c r="M170" s="14">
        <f t="shared" si="8"/>
        <v>88.845498414630541</v>
      </c>
      <c r="N170" s="14">
        <f t="shared" si="9"/>
        <v>-29.799223387418706</v>
      </c>
      <c r="O170" s="14" t="str">
        <f t="shared" si="10"/>
        <v>-29.7992233874187i</v>
      </c>
      <c r="P170" s="14">
        <f t="shared" si="11"/>
        <v>7.1760259393298054E-2</v>
      </c>
      <c r="Q170" s="14" t="str">
        <f t="shared" si="12"/>
        <v>1+0.0717602593932981i</v>
      </c>
      <c r="R170" s="14">
        <f t="shared" si="13"/>
        <v>2.2902210444669595E-3</v>
      </c>
      <c r="S170" s="14" t="str">
        <f t="shared" si="14"/>
        <v>1+0.00229022104446696i</v>
      </c>
      <c r="T170" s="14" t="str">
        <f t="shared" si="15"/>
        <v>2.07014233336007-29.8039644709555i</v>
      </c>
      <c r="U170" s="14">
        <f t="shared" si="16"/>
        <v>29.50638289800338</v>
      </c>
      <c r="V170" s="14">
        <f t="shared" si="17"/>
        <v>-86.026695585109124</v>
      </c>
      <c r="W170" s="14">
        <f t="shared" si="18"/>
        <v>49.744080806422566</v>
      </c>
      <c r="X170" s="14">
        <f t="shared" si="19"/>
        <v>2.818802829521434</v>
      </c>
      <c r="Y170" s="14"/>
      <c r="Z170" s="14"/>
    </row>
    <row r="171" spans="1:26" ht="15">
      <c r="A171" s="14"/>
      <c r="B171" s="14"/>
      <c r="C171" s="14"/>
      <c r="D171" s="6">
        <v>160</v>
      </c>
      <c r="E171" s="15">
        <f t="shared" si="0"/>
        <v>90.273437298798157</v>
      </c>
      <c r="F171" s="15" t="str">
        <f t="shared" si="1"/>
        <v>1+90.2734372987982i</v>
      </c>
      <c r="G171" s="15">
        <f t="shared" si="2"/>
        <v>3.0491299074933112E-3</v>
      </c>
      <c r="H171" s="14" t="str">
        <f t="shared" si="3"/>
        <v>1+0.00304912990749331i</v>
      </c>
      <c r="I171" s="14">
        <f t="shared" si="4"/>
        <v>-0.55051087503997542</v>
      </c>
      <c r="J171" s="14" t="str">
        <f t="shared" si="5"/>
        <v>3.58696057979485+200.811310391647i</v>
      </c>
      <c r="K171" s="16" t="str">
        <f t="shared" si="6"/>
        <v>0.512802665702567+28.7085885058575i</v>
      </c>
      <c r="L171" s="14">
        <f t="shared" si="7"/>
        <v>29.161622260995372</v>
      </c>
      <c r="M171" s="14">
        <f t="shared" si="8"/>
        <v>88.976671938621536</v>
      </c>
      <c r="N171" s="14">
        <f t="shared" si="9"/>
        <v>-18.62451461713669</v>
      </c>
      <c r="O171" s="14" t="str">
        <f t="shared" si="10"/>
        <v>-18.6245146171367i</v>
      </c>
      <c r="P171" s="14">
        <f t="shared" si="11"/>
        <v>0.11481641502927689</v>
      </c>
      <c r="Q171" s="14" t="str">
        <f t="shared" si="12"/>
        <v>1+0.114816415029277i</v>
      </c>
      <c r="R171" s="14">
        <f t="shared" si="13"/>
        <v>3.6643536711471348E-3</v>
      </c>
      <c r="S171" s="14" t="str">
        <f t="shared" si="14"/>
        <v>1+0.00366435367114713i</v>
      </c>
      <c r="T171" s="14" t="str">
        <f t="shared" si="15"/>
        <v>2.07012539490582-18.6321002887272i</v>
      </c>
      <c r="U171" s="14">
        <f t="shared" si="16"/>
        <v>25.458519073910235</v>
      </c>
      <c r="V171" s="14">
        <f t="shared" si="17"/>
        <v>-83.660136226573215</v>
      </c>
      <c r="W171" s="14">
        <f t="shared" si="18"/>
        <v>54.620141334905611</v>
      </c>
      <c r="X171" s="14">
        <f t="shared" si="19"/>
        <v>5.316535712048319</v>
      </c>
      <c r="Y171" s="14"/>
      <c r="Z171" s="14"/>
    </row>
    <row r="172" spans="1:26" ht="15">
      <c r="A172" s="14"/>
      <c r="B172" s="14"/>
      <c r="C172" s="14"/>
      <c r="D172" s="6">
        <v>250</v>
      </c>
      <c r="E172" s="15">
        <f t="shared" si="0"/>
        <v>141.0522457793721</v>
      </c>
      <c r="F172" s="15" t="str">
        <f t="shared" si="1"/>
        <v>1+141.052245779372i</v>
      </c>
      <c r="G172" s="15">
        <f t="shared" si="2"/>
        <v>4.7642654804582983E-3</v>
      </c>
      <c r="H172" s="14" t="str">
        <f t="shared" si="3"/>
        <v>1+0.0047642654804583i</v>
      </c>
      <c r="I172" s="14">
        <f t="shared" si="4"/>
        <v>-1.3440206910155648</v>
      </c>
      <c r="J172" s="14" t="str">
        <f t="shared" si="5"/>
        <v>2.77081629396483-409.972564320466i</v>
      </c>
      <c r="K172" s="16" t="str">
        <f t="shared" si="6"/>
        <v>0.396124225540984-58.6109100369529i</v>
      </c>
      <c r="L172" s="14">
        <f t="shared" si="7"/>
        <v>35.359767664270422</v>
      </c>
      <c r="M172" s="14">
        <f t="shared" si="8"/>
        <v>-89.612770033608768</v>
      </c>
      <c r="N172" s="14">
        <f t="shared" si="9"/>
        <v>-11.919689354967483</v>
      </c>
      <c r="O172" s="14" t="str">
        <f t="shared" si="10"/>
        <v>-11.9196893549675i</v>
      </c>
      <c r="P172" s="14">
        <f t="shared" si="11"/>
        <v>0.17940064848324516</v>
      </c>
      <c r="Q172" s="14" t="str">
        <f t="shared" si="12"/>
        <v>1+0.179400648483245i</v>
      </c>
      <c r="R172" s="14">
        <f t="shared" si="13"/>
        <v>5.725552611167398E-3</v>
      </c>
      <c r="S172" s="14" t="str">
        <f t="shared" si="14"/>
        <v>1+0.0057255526111674i</v>
      </c>
      <c r="T172" s="14" t="str">
        <f t="shared" si="15"/>
        <v>2.07008533004998-11.9315417374343i</v>
      </c>
      <c r="U172" s="14">
        <f t="shared" si="16"/>
        <v>21.662730096896045</v>
      </c>
      <c r="V172" s="14">
        <f t="shared" si="17"/>
        <v>-80.157338770103962</v>
      </c>
      <c r="W172" s="14">
        <f t="shared" si="18"/>
        <v>57.022497761166477</v>
      </c>
      <c r="X172" s="14">
        <f t="shared" si="19"/>
        <v>-169.77010880371276</v>
      </c>
      <c r="Y172" s="14"/>
      <c r="Z172" s="14"/>
    </row>
    <row r="173" spans="1:26" ht="15">
      <c r="A173" s="14"/>
      <c r="B173" s="14"/>
      <c r="C173" s="14"/>
      <c r="D173" s="6">
        <v>400</v>
      </c>
      <c r="E173" s="15">
        <f t="shared" si="0"/>
        <v>225.6835932469954</v>
      </c>
      <c r="F173" s="15" t="str">
        <f t="shared" si="1"/>
        <v>1+225.683593246995i</v>
      </c>
      <c r="G173" s="15">
        <f t="shared" si="2"/>
        <v>7.6228247687332787E-3</v>
      </c>
      <c r="H173" s="14" t="str">
        <f t="shared" si="3"/>
        <v>1+0.00762282476873328i</v>
      </c>
      <c r="I173" s="14">
        <f t="shared" si="4"/>
        <v>-3.4406929689998464</v>
      </c>
      <c r="J173" s="14" t="str">
        <f t="shared" si="5"/>
        <v>-0.120923554496653-92.4673926186392i</v>
      </c>
      <c r="K173" s="16" t="str">
        <f t="shared" si="6"/>
        <v>-0.0172875948069828-13.2194163751072i</v>
      </c>
      <c r="L173" s="14">
        <f t="shared" si="7"/>
        <v>22.424253064796105</v>
      </c>
      <c r="M173" s="14">
        <f t="shared" si="8"/>
        <v>-90.074928092709641</v>
      </c>
      <c r="N173" s="14">
        <f t="shared" si="9"/>
        <v>-7.4498058468546766</v>
      </c>
      <c r="O173" s="14" t="str">
        <f t="shared" si="10"/>
        <v>-7.44980584685468i</v>
      </c>
      <c r="P173" s="14">
        <f t="shared" si="11"/>
        <v>0.28704103757319221</v>
      </c>
      <c r="Q173" s="14" t="str">
        <f t="shared" si="12"/>
        <v>1+0.287041037573192i</v>
      </c>
      <c r="R173" s="14">
        <f t="shared" si="13"/>
        <v>9.1608841778678379E-3</v>
      </c>
      <c r="S173" s="14" t="str">
        <f t="shared" si="14"/>
        <v>1+0.00916088417786784i</v>
      </c>
      <c r="T173" s="14" t="str">
        <f t="shared" si="15"/>
        <v>2.06997947508808-7.46876868907655i</v>
      </c>
      <c r="U173" s="14">
        <f t="shared" si="16"/>
        <v>17.786382611154565</v>
      </c>
      <c r="V173" s="14">
        <f t="shared" si="17"/>
        <v>-74.509213945387927</v>
      </c>
      <c r="W173" s="14">
        <f t="shared" si="18"/>
        <v>40.21063567595067</v>
      </c>
      <c r="X173" s="14">
        <f t="shared" si="19"/>
        <v>-164.58414203809758</v>
      </c>
      <c r="Y173" s="14"/>
      <c r="Z173" s="14"/>
    </row>
    <row r="174" spans="1:26" ht="15">
      <c r="A174" s="14"/>
      <c r="B174" s="14"/>
      <c r="C174" s="14"/>
      <c r="D174" s="6">
        <v>630</v>
      </c>
      <c r="E174" s="15">
        <f t="shared" si="0"/>
        <v>355.45165936401776</v>
      </c>
      <c r="F174" s="15" t="str">
        <f t="shared" si="1"/>
        <v>1+355.451659364018i</v>
      </c>
      <c r="G174" s="15">
        <f t="shared" si="2"/>
        <v>1.2005949010754914E-2</v>
      </c>
      <c r="H174" s="14" t="str">
        <f t="shared" si="3"/>
        <v>1+0.0120059490107549i</v>
      </c>
      <c r="I174" s="14">
        <f t="shared" si="4"/>
        <v>-8.5350689962252435</v>
      </c>
      <c r="J174" s="14" t="str">
        <f t="shared" si="5"/>
        <v>-0.0575499051511334-47.173071737407i</v>
      </c>
      <c r="K174" s="16" t="str">
        <f t="shared" si="6"/>
        <v>-0.00822750741635387-6.74400412220429i</v>
      </c>
      <c r="L174" s="14">
        <f t="shared" si="7"/>
        <v>16.578363005252687</v>
      </c>
      <c r="M174" s="14">
        <f t="shared" si="8"/>
        <v>-90.069899307363983</v>
      </c>
      <c r="N174" s="14">
        <f t="shared" si="9"/>
        <v>-4.7300354583204296</v>
      </c>
      <c r="O174" s="14" t="str">
        <f t="shared" si="10"/>
        <v>-4.73003545832043i</v>
      </c>
      <c r="P174" s="14">
        <f t="shared" si="11"/>
        <v>0.45208963417777775</v>
      </c>
      <c r="Q174" s="14" t="str">
        <f t="shared" si="12"/>
        <v>1+0.452089634177778i</v>
      </c>
      <c r="R174" s="14">
        <f t="shared" si="13"/>
        <v>1.4428392580141844E-2</v>
      </c>
      <c r="S174" s="14" t="str">
        <f t="shared" si="14"/>
        <v>1+0.0144283925801418i</v>
      </c>
      <c r="T174" s="14" t="str">
        <f t="shared" si="15"/>
        <v>2.06972231977565-4.75989822448205i</v>
      </c>
      <c r="U174" s="14">
        <f t="shared" si="16"/>
        <v>14.304037428555979</v>
      </c>
      <c r="V174" s="14">
        <f t="shared" si="17"/>
        <v>-66.499395965697573</v>
      </c>
      <c r="W174" s="14">
        <f t="shared" si="18"/>
        <v>30.882400433808677</v>
      </c>
      <c r="X174" s="14">
        <f t="shared" si="19"/>
        <v>-156.56929527306158</v>
      </c>
      <c r="Y174" s="14"/>
      <c r="Z174" s="14"/>
    </row>
    <row r="175" spans="1:26" ht="15">
      <c r="A175" s="14"/>
      <c r="B175" s="14"/>
      <c r="C175" s="14"/>
      <c r="D175" s="6">
        <v>1000</v>
      </c>
      <c r="E175" s="15">
        <f t="shared" si="0"/>
        <v>564.2089831174884</v>
      </c>
      <c r="F175" s="15" t="str">
        <f t="shared" si="1"/>
        <v>1+564.208983117488i</v>
      </c>
      <c r="G175" s="15">
        <f t="shared" si="2"/>
        <v>1.9057061921833193E-2</v>
      </c>
      <c r="H175" s="14" t="str">
        <f t="shared" si="3"/>
        <v>1+0.0190570619218332i</v>
      </c>
      <c r="I175" s="14">
        <f t="shared" si="4"/>
        <v>-21.504331056249036</v>
      </c>
      <c r="J175" s="14" t="str">
        <f t="shared" si="5"/>
        <v>-0.0231958065744067-27.5165975234027i</v>
      </c>
      <c r="K175" s="16" t="str">
        <f t="shared" si="6"/>
        <v>-0.00331614222678667-3.93385548772119i</v>
      </c>
      <c r="L175" s="14">
        <f t="shared" si="7"/>
        <v>11.896371122865968</v>
      </c>
      <c r="M175" s="14">
        <f t="shared" si="8"/>
        <v>-90.048298904077114</v>
      </c>
      <c r="N175" s="14">
        <f t="shared" si="9"/>
        <v>-2.9799223387418707</v>
      </c>
      <c r="O175" s="14" t="str">
        <f t="shared" si="10"/>
        <v>-2.97992233874187i</v>
      </c>
      <c r="P175" s="14">
        <f t="shared" si="11"/>
        <v>0.71760259393298065</v>
      </c>
      <c r="Q175" s="14" t="str">
        <f t="shared" si="12"/>
        <v>1+0.717602593932981i</v>
      </c>
      <c r="R175" s="14">
        <f t="shared" si="13"/>
        <v>2.2902210444669592E-2</v>
      </c>
      <c r="S175" s="14" t="str">
        <f t="shared" si="14"/>
        <v>1+0.0229022104446696i</v>
      </c>
      <c r="T175" s="14" t="str">
        <f t="shared" si="15"/>
        <v>2.06906794209069-3.02730856817594i</v>
      </c>
      <c r="U175" s="14">
        <f t="shared" si="16"/>
        <v>11.285814569708803</v>
      </c>
      <c r="V175" s="14">
        <f t="shared" si="17"/>
        <v>-55.648650747843668</v>
      </c>
      <c r="W175" s="14">
        <f t="shared" si="18"/>
        <v>23.182185692574791</v>
      </c>
      <c r="X175" s="14">
        <f t="shared" si="19"/>
        <v>-145.69694965192087</v>
      </c>
      <c r="Y175" s="14"/>
      <c r="Z175" s="14"/>
    </row>
    <row r="176" spans="1:26" ht="15">
      <c r="A176" s="14"/>
      <c r="B176" s="14"/>
      <c r="C176" s="14"/>
      <c r="D176" s="6">
        <v>1600</v>
      </c>
      <c r="E176" s="15">
        <f t="shared" si="0"/>
        <v>902.7343729879816</v>
      </c>
      <c r="F176" s="15" t="str">
        <f t="shared" si="1"/>
        <v>1+902.734372987982i</v>
      </c>
      <c r="G176" s="15">
        <f t="shared" si="2"/>
        <v>3.0491299074933115E-2</v>
      </c>
      <c r="H176" s="14" t="str">
        <f t="shared" si="3"/>
        <v>1+0.0304912990749331i</v>
      </c>
      <c r="I176" s="14">
        <f t="shared" si="4"/>
        <v>-55.051087503997543</v>
      </c>
      <c r="J176" s="14" t="str">
        <f t="shared" si="5"/>
        <v>-0.0090793610047741-16.7015076202256i</v>
      </c>
      <c r="K176" s="16" t="str">
        <f t="shared" si="6"/>
        <v>-0.00129801273879357-2.38769772858593i</v>
      </c>
      <c r="L176" s="14">
        <f t="shared" si="7"/>
        <v>7.5595882090236355</v>
      </c>
      <c r="M176" s="14">
        <f t="shared" si="8"/>
        <v>-90.031147428533544</v>
      </c>
      <c r="N176" s="14">
        <f t="shared" si="9"/>
        <v>-1.8624514617136692</v>
      </c>
      <c r="O176" s="14" t="str">
        <f t="shared" si="10"/>
        <v>-1.86245146171367i</v>
      </c>
      <c r="P176" s="14">
        <f t="shared" si="11"/>
        <v>1.1481641502927689</v>
      </c>
      <c r="Q176" s="14" t="str">
        <f t="shared" si="12"/>
        <v>1+1.14816415029277i</v>
      </c>
      <c r="R176" s="14">
        <f t="shared" si="13"/>
        <v>3.6643536711471351E-2</v>
      </c>
      <c r="S176" s="14" t="str">
        <f t="shared" si="14"/>
        <v>1+0.0366435367114714i</v>
      </c>
      <c r="T176" s="14" t="str">
        <f t="shared" si="15"/>
        <v>2.06737722323942-1.9382074748899i</v>
      </c>
      <c r="U176" s="14">
        <f t="shared" si="16"/>
        <v>9.0475322931146334</v>
      </c>
      <c r="V176" s="14">
        <f t="shared" si="17"/>
        <v>-43.152999325547746</v>
      </c>
      <c r="W176" s="14">
        <f t="shared" si="18"/>
        <v>16.607120502138269</v>
      </c>
      <c r="X176" s="14">
        <f t="shared" si="19"/>
        <v>-133.1841467540813</v>
      </c>
      <c r="Y176" s="14"/>
      <c r="Z176" s="14"/>
    </row>
    <row r="177" spans="1:26" ht="15">
      <c r="A177" s="14"/>
      <c r="B177" s="14"/>
      <c r="C177" s="14"/>
      <c r="D177" s="6">
        <v>2500</v>
      </c>
      <c r="E177" s="15">
        <f t="shared" si="0"/>
        <v>1410.5224577937211</v>
      </c>
      <c r="F177" s="15" t="str">
        <f t="shared" si="1"/>
        <v>1+1410.52245779372i</v>
      </c>
      <c r="G177" s="15">
        <f t="shared" si="2"/>
        <v>4.764265480458299E-2</v>
      </c>
      <c r="H177" s="14" t="str">
        <f t="shared" si="3"/>
        <v>1+0.047642654804583i</v>
      </c>
      <c r="I177" s="14">
        <f t="shared" si="4"/>
        <v>-134.40206910155649</v>
      </c>
      <c r="J177" s="14" t="str">
        <f t="shared" si="5"/>
        <v>-0.00371997130362858-10.5734689463417i</v>
      </c>
      <c r="K177" s="16" t="str">
        <f t="shared" si="6"/>
        <v>-0.000531818278568005-1.51161490091353i</v>
      </c>
      <c r="L177" s="14">
        <f t="shared" si="7"/>
        <v>3.588823825015349</v>
      </c>
      <c r="M177" s="14">
        <f t="shared" si="8"/>
        <v>-90.020157873248152</v>
      </c>
      <c r="N177" s="14">
        <f t="shared" si="9"/>
        <v>-1.1919689354967482</v>
      </c>
      <c r="O177" s="14" t="str">
        <f t="shared" si="10"/>
        <v>-1.19196893549675i</v>
      </c>
      <c r="P177" s="14">
        <f t="shared" si="11"/>
        <v>1.7940064848324515</v>
      </c>
      <c r="Q177" s="14" t="str">
        <f t="shared" si="12"/>
        <v>1+1.79400648483245i</v>
      </c>
      <c r="R177" s="14">
        <f t="shared" si="13"/>
        <v>5.7255526111673984E-2</v>
      </c>
      <c r="S177" s="14" t="str">
        <f t="shared" si="14"/>
        <v>1+0.057255526111674i</v>
      </c>
      <c r="T177" s="14" t="str">
        <f t="shared" si="15"/>
        <v>2.06338899943059-1.31010935823219i</v>
      </c>
      <c r="U177" s="14">
        <f t="shared" si="16"/>
        <v>7.7626236077685364</v>
      </c>
      <c r="V177" s="14">
        <f t="shared" si="17"/>
        <v>-32.412724276579503</v>
      </c>
      <c r="W177" s="14">
        <f t="shared" si="18"/>
        <v>11.351447432783885</v>
      </c>
      <c r="X177" s="14">
        <f t="shared" si="19"/>
        <v>-122.43288214982759</v>
      </c>
      <c r="Y177" s="14"/>
      <c r="Z177" s="14"/>
    </row>
    <row r="178" spans="1:26" ht="15">
      <c r="A178" s="14"/>
      <c r="B178" s="14"/>
      <c r="C178" s="14"/>
      <c r="D178" s="6">
        <v>4000</v>
      </c>
      <c r="E178" s="15">
        <f t="shared" si="0"/>
        <v>2256.8359324699536</v>
      </c>
      <c r="F178" s="15" t="str">
        <f t="shared" si="1"/>
        <v>1+2256.83593246995i</v>
      </c>
      <c r="G178" s="15">
        <f t="shared" si="2"/>
        <v>7.6228247687332773E-2</v>
      </c>
      <c r="H178" s="14" t="str">
        <f t="shared" si="3"/>
        <v>1+0.0762282476873328i</v>
      </c>
      <c r="I178" s="14">
        <f t="shared" si="4"/>
        <v>-344.06929689998458</v>
      </c>
      <c r="J178" s="14" t="str">
        <f t="shared" si="5"/>
        <v>-0.00145318321514492-6.57836787971585i</v>
      </c>
      <c r="K178" s="16" t="str">
        <f t="shared" si="6"/>
        <v>-0.000207751440224404-0.940463244478524i</v>
      </c>
      <c r="L178" s="14">
        <f t="shared" si="7"/>
        <v>-0.53316324876135068</v>
      </c>
      <c r="M178" s="14">
        <f t="shared" si="8"/>
        <v>-90.012656826929586</v>
      </c>
      <c r="N178" s="14">
        <f t="shared" si="9"/>
        <v>-0.74498058468546768</v>
      </c>
      <c r="O178" s="14" t="str">
        <f t="shared" si="10"/>
        <v>-0.744980584685468i</v>
      </c>
      <c r="P178" s="14">
        <f t="shared" si="11"/>
        <v>2.8704103757319226</v>
      </c>
      <c r="Q178" s="14" t="str">
        <f t="shared" si="12"/>
        <v>1+2.87041037573192i</v>
      </c>
      <c r="R178" s="14">
        <f t="shared" si="13"/>
        <v>9.1608841778678368E-2</v>
      </c>
      <c r="S178" s="14" t="str">
        <f t="shared" si="14"/>
        <v>1+0.0916088417786784i</v>
      </c>
      <c r="T178" s="14" t="str">
        <f t="shared" si="15"/>
        <v>2.05292467828441-0.933046636721971i</v>
      </c>
      <c r="U178" s="14">
        <f t="shared" si="16"/>
        <v>7.0629742772922999</v>
      </c>
      <c r="V178" s="14">
        <f t="shared" si="17"/>
        <v>-24.441619860190421</v>
      </c>
      <c r="W178" s="14">
        <f t="shared" si="18"/>
        <v>6.5298110285309443</v>
      </c>
      <c r="X178" s="14">
        <f t="shared" si="19"/>
        <v>-114.45427668712001</v>
      </c>
      <c r="Y178" s="14"/>
      <c r="Z178" s="14"/>
    </row>
    <row r="179" spans="1:26" ht="15">
      <c r="A179" s="14"/>
      <c r="B179" s="14"/>
      <c r="C179" s="14"/>
      <c r="D179" s="6">
        <v>6300</v>
      </c>
      <c r="E179" s="15">
        <f t="shared" si="0"/>
        <v>3554.5165936401772</v>
      </c>
      <c r="F179" s="15" t="str">
        <f t="shared" si="1"/>
        <v>1+3554.51659364018i</v>
      </c>
      <c r="G179" s="15">
        <f t="shared" si="2"/>
        <v>0.12005949010754914</v>
      </c>
      <c r="H179" s="14" t="str">
        <f t="shared" si="3"/>
        <v>1+0.120059490107549i</v>
      </c>
      <c r="I179" s="14">
        <f t="shared" si="4"/>
        <v>-853.50689962252443</v>
      </c>
      <c r="J179" s="14" t="str">
        <f t="shared" si="5"/>
        <v>-0.000585817528044592-4.16948726813474i</v>
      </c>
      <c r="K179" s="16" t="str">
        <f t="shared" si="6"/>
        <v>-0.0000837502345826551-0.596082431949864i</v>
      </c>
      <c r="L179" s="14">
        <f t="shared" si="7"/>
        <v>-4.4938734689436579</v>
      </c>
      <c r="M179" s="14">
        <f t="shared" si="8"/>
        <v>-90.008050119725127</v>
      </c>
      <c r="N179" s="14">
        <f t="shared" si="9"/>
        <v>-0.47300354583204296</v>
      </c>
      <c r="O179" s="14" t="str">
        <f t="shared" si="10"/>
        <v>-0.473003545832043i</v>
      </c>
      <c r="P179" s="14">
        <f t="shared" si="11"/>
        <v>4.5208963417777781</v>
      </c>
      <c r="Q179" s="14" t="str">
        <f t="shared" si="12"/>
        <v>1+4.52089634177778i</v>
      </c>
      <c r="R179" s="14">
        <f t="shared" si="13"/>
        <v>0.14428392580141844</v>
      </c>
      <c r="S179" s="14" t="str">
        <f t="shared" si="14"/>
        <v>1+0.144283925801418i</v>
      </c>
      <c r="T179" s="14" t="str">
        <f t="shared" si="15"/>
        <v>2.02793592310837-0.76560210209184i</v>
      </c>
      <c r="U179" s="14">
        <f t="shared" si="16"/>
        <v>6.7197500794113711</v>
      </c>
      <c r="V179" s="14">
        <f t="shared" si="17"/>
        <v>-20.68291369896609</v>
      </c>
      <c r="W179" s="14">
        <f t="shared" si="18"/>
        <v>2.2258766104676977</v>
      </c>
      <c r="X179" s="14">
        <f t="shared" si="19"/>
        <v>-110.69096381869126</v>
      </c>
      <c r="Y179" s="14"/>
      <c r="Z179" s="14"/>
    </row>
    <row r="180" spans="1:26" ht="15">
      <c r="A180" s="14"/>
      <c r="B180" s="14"/>
      <c r="C180" s="14"/>
      <c r="D180" s="6">
        <v>10000</v>
      </c>
      <c r="E180" s="15">
        <f t="shared" si="0"/>
        <v>5642.0898311748842</v>
      </c>
      <c r="F180" s="15" t="str">
        <f t="shared" si="1"/>
        <v>1+5642.08983117488i</v>
      </c>
      <c r="G180" s="15">
        <f t="shared" si="2"/>
        <v>0.19057061921833196</v>
      </c>
      <c r="H180" s="14" t="str">
        <f t="shared" si="3"/>
        <v>1+0.190570619218332i</v>
      </c>
      <c r="I180" s="14">
        <f t="shared" si="4"/>
        <v>-2150.4331056249039</v>
      </c>
      <c r="J180" s="14" t="str">
        <f t="shared" si="5"/>
        <v>-0.000232511249263291-2.62491996644128i</v>
      </c>
      <c r="K180" s="16" t="str">
        <f t="shared" si="6"/>
        <v>-0.0000332405070464613-0.375266448042194i</v>
      </c>
      <c r="L180" s="14">
        <f t="shared" si="7"/>
        <v>-8.5132052340987574</v>
      </c>
      <c r="M180" s="14">
        <f t="shared" si="8"/>
        <v>-90.005075169303296</v>
      </c>
      <c r="N180" s="14">
        <f t="shared" si="9"/>
        <v>-0.29799223387418705</v>
      </c>
      <c r="O180" s="14" t="str">
        <f t="shared" si="10"/>
        <v>-0.297992233874187i</v>
      </c>
      <c r="P180" s="14">
        <f t="shared" si="11"/>
        <v>7.176025939329806</v>
      </c>
      <c r="Q180" s="14" t="str">
        <f t="shared" si="12"/>
        <v>1+7.17602593932981i</v>
      </c>
      <c r="R180" s="14">
        <f t="shared" si="13"/>
        <v>0.22902210444669593</v>
      </c>
      <c r="S180" s="14" t="str">
        <f t="shared" si="14"/>
        <v>1+0.229022104446696i</v>
      </c>
      <c r="T180" s="14" t="str">
        <f t="shared" si="15"/>
        <v>1.96698273548493-0.748474759365265i</v>
      </c>
      <c r="U180" s="14">
        <f t="shared" si="16"/>
        <v>6.4632877671438003</v>
      </c>
      <c r="V180" s="14">
        <f t="shared" si="17"/>
        <v>-20.83278249933343</v>
      </c>
      <c r="W180" s="14">
        <f t="shared" si="18"/>
        <v>-2.049917466954958</v>
      </c>
      <c r="X180" s="14">
        <f t="shared" si="19"/>
        <v>-110.83785766863673</v>
      </c>
      <c r="Y180" s="14"/>
      <c r="Z180" s="14"/>
    </row>
    <row r="181" spans="1:26" ht="15">
      <c r="A181" s="14"/>
      <c r="B181" s="14"/>
      <c r="C181" s="14"/>
      <c r="D181" s="6">
        <v>16000</v>
      </c>
      <c r="E181" s="15">
        <f t="shared" si="0"/>
        <v>9027.3437298798144</v>
      </c>
      <c r="F181" s="15" t="str">
        <f t="shared" si="1"/>
        <v>1+9027.34372987981i</v>
      </c>
      <c r="G181" s="15">
        <f t="shared" si="2"/>
        <v>0.30491299074933109</v>
      </c>
      <c r="H181" s="14" t="str">
        <f t="shared" si="3"/>
        <v>1+0.304912990749331i</v>
      </c>
      <c r="I181" s="14">
        <f t="shared" si="4"/>
        <v>-5505.1087503997533</v>
      </c>
      <c r="J181" s="14" t="str">
        <f t="shared" si="5"/>
        <v>-0.0000908247238394705-1.64010999181617i</v>
      </c>
      <c r="K181" s="16" t="str">
        <f t="shared" si="6"/>
        <v>-0.0000129845755091191-0.234475054057285i</v>
      </c>
      <c r="L181" s="14">
        <f t="shared" si="7"/>
        <v>-12.598067093553833</v>
      </c>
      <c r="M181" s="14">
        <f t="shared" si="8"/>
        <v>-90.003172880704398</v>
      </c>
      <c r="N181" s="14">
        <f t="shared" si="9"/>
        <v>-0.18624514617136692</v>
      </c>
      <c r="O181" s="14" t="str">
        <f t="shared" si="10"/>
        <v>-0.186245146171367i</v>
      </c>
      <c r="P181" s="14">
        <f t="shared" si="11"/>
        <v>11.48164150292769</v>
      </c>
      <c r="Q181" s="14" t="str">
        <f t="shared" si="12"/>
        <v>1+11.4816415029277i</v>
      </c>
      <c r="R181" s="14">
        <f t="shared" si="13"/>
        <v>0.36643536711471347</v>
      </c>
      <c r="S181" s="14" t="str">
        <f t="shared" si="14"/>
        <v>1+0.366435367114713i</v>
      </c>
      <c r="T181" s="14" t="str">
        <f t="shared" si="15"/>
        <v>1.8250895185497-0.855022493918341i</v>
      </c>
      <c r="U181" s="14">
        <f t="shared" si="16"/>
        <v>6.0874154588735765</v>
      </c>
      <c r="V181" s="14">
        <f t="shared" si="17"/>
        <v>-25.102267807814261</v>
      </c>
      <c r="W181" s="14">
        <f t="shared" si="18"/>
        <v>-6.5106516346802561</v>
      </c>
      <c r="X181" s="14">
        <f t="shared" si="19"/>
        <v>-115.10544068851864</v>
      </c>
      <c r="Y181" s="14"/>
      <c r="Z181" s="14"/>
    </row>
    <row r="182" spans="1:26" ht="15">
      <c r="A182" s="14"/>
      <c r="B182" s="14"/>
      <c r="C182" s="14"/>
      <c r="D182" s="6">
        <v>25000</v>
      </c>
      <c r="E182" s="15">
        <f t="shared" si="0"/>
        <v>14105.22457793721</v>
      </c>
      <c r="F182" s="15" t="str">
        <f t="shared" si="1"/>
        <v>1+14105.2245779372i</v>
      </c>
      <c r="G182" s="15">
        <f t="shared" si="2"/>
        <v>0.47642654804582985</v>
      </c>
      <c r="H182" s="14" t="str">
        <f t="shared" si="3"/>
        <v>1+0.47642654804583i</v>
      </c>
      <c r="I182" s="14">
        <f t="shared" si="4"/>
        <v>-13440.206910155648</v>
      </c>
      <c r="J182" s="14" t="str">
        <f t="shared" si="5"/>
        <v>-0.0000372018079740619-1.04955781170407i</v>
      </c>
      <c r="K182" s="16" t="str">
        <f t="shared" si="6"/>
        <v>-5.31848228428121E-06-0.150047939384264i</v>
      </c>
      <c r="L182" s="14">
        <f t="shared" si="7"/>
        <v>-16.475399282257062</v>
      </c>
      <c r="M182" s="14">
        <f t="shared" si="8"/>
        <v>-90.00203086153283</v>
      </c>
      <c r="N182" s="14">
        <f t="shared" si="9"/>
        <v>-0.11919689354967482</v>
      </c>
      <c r="O182" s="14" t="str">
        <f t="shared" si="10"/>
        <v>-0.119196893549675i</v>
      </c>
      <c r="P182" s="14">
        <f t="shared" si="11"/>
        <v>17.940064848324514</v>
      </c>
      <c r="Q182" s="14" t="str">
        <f t="shared" si="12"/>
        <v>1+17.9400648483245i</v>
      </c>
      <c r="R182" s="14">
        <f t="shared" si="13"/>
        <v>0.57255526111673982</v>
      </c>
      <c r="S182" s="14" t="str">
        <f t="shared" si="14"/>
        <v>1+0.57255526111674i</v>
      </c>
      <c r="T182" s="14" t="str">
        <f t="shared" si="15"/>
        <v>1.55906216872404-1.0118461406607i</v>
      </c>
      <c r="U182" s="14">
        <f t="shared" si="16"/>
        <v>5.3838613466709333</v>
      </c>
      <c r="V182" s="14">
        <f t="shared" si="17"/>
        <v>-32.983953448645686</v>
      </c>
      <c r="W182" s="14">
        <f t="shared" si="18"/>
        <v>-11.091537935586135</v>
      </c>
      <c r="X182" s="14">
        <f t="shared" si="19"/>
        <v>-122.98598431017861</v>
      </c>
      <c r="Y182" s="14"/>
      <c r="Z182" s="14"/>
    </row>
    <row r="183" spans="1:26" ht="15">
      <c r="A183" s="14"/>
      <c r="B183" s="14">
        <f>B87</f>
        <v>130</v>
      </c>
      <c r="C183" s="14"/>
      <c r="D183" s="6">
        <v>40000</v>
      </c>
      <c r="E183" s="15">
        <f t="shared" si="0"/>
        <v>22568.359324699537</v>
      </c>
      <c r="F183" s="15" t="str">
        <f t="shared" si="1"/>
        <v>1+22568.3593246995i</v>
      </c>
      <c r="G183" s="15">
        <f t="shared" si="2"/>
        <v>0.76228247687332784</v>
      </c>
      <c r="H183" s="14" t="str">
        <f t="shared" si="3"/>
        <v>1+0.762282476873328i</v>
      </c>
      <c r="I183" s="14">
        <f t="shared" si="4"/>
        <v>-34406.929689998462</v>
      </c>
      <c r="J183" s="14" t="str">
        <f t="shared" si="5"/>
        <v>-0.0000145319563191809-0.655943889298169i</v>
      </c>
      <c r="K183" s="16" t="str">
        <f t="shared" si="6"/>
        <v>-2.07753215363617E-06-0.0937757099640746i</v>
      </c>
      <c r="L183" s="14">
        <f t="shared" si="7"/>
        <v>-20.558192781389174</v>
      </c>
      <c r="M183" s="14">
        <f t="shared" si="8"/>
        <v>-90.001269346019683</v>
      </c>
      <c r="N183" s="14">
        <f t="shared" si="9"/>
        <v>-7.4498058468546763E-2</v>
      </c>
      <c r="O183" s="14" t="str">
        <f t="shared" si="10"/>
        <v>-0.0744980584685468i</v>
      </c>
      <c r="P183" s="14">
        <f t="shared" si="11"/>
        <v>28.704103757319224</v>
      </c>
      <c r="Q183" s="14" t="str">
        <f t="shared" si="12"/>
        <v>1+28.7041037573192i</v>
      </c>
      <c r="R183" s="14">
        <f t="shared" si="13"/>
        <v>0.91608841778678374</v>
      </c>
      <c r="S183" s="14" t="str">
        <f t="shared" si="14"/>
        <v>1+0.916088417786784i</v>
      </c>
      <c r="T183" s="14" t="str">
        <f t="shared" si="15"/>
        <v>1.12556162654016-1.10561202804725i</v>
      </c>
      <c r="U183" s="14">
        <f t="shared" si="16"/>
        <v>3.9607146983061412</v>
      </c>
      <c r="V183" s="14">
        <f t="shared" si="17"/>
        <v>-44.487714757105728</v>
      </c>
      <c r="W183" s="14">
        <f t="shared" si="18"/>
        <v>-16.597478083083061</v>
      </c>
      <c r="X183" s="14">
        <f t="shared" si="19"/>
        <v>-134.48898410312543</v>
      </c>
      <c r="Y183" s="14"/>
      <c r="Z183" s="14"/>
    </row>
    <row r="184" spans="1:26" ht="15">
      <c r="A184" s="14"/>
      <c r="B184" s="14"/>
      <c r="C184" s="14"/>
      <c r="D184" s="6">
        <v>63000</v>
      </c>
      <c r="E184" s="15">
        <f t="shared" si="0"/>
        <v>35545.165936401769</v>
      </c>
      <c r="F184" s="15" t="str">
        <f t="shared" si="1"/>
        <v>1+35545.1659364018i</v>
      </c>
      <c r="G184" s="15">
        <f t="shared" si="2"/>
        <v>1.2005949010754913</v>
      </c>
      <c r="H184" s="14" t="str">
        <f t="shared" si="3"/>
        <v>1+1.20059490107549i</v>
      </c>
      <c r="I184" s="14">
        <f t="shared" si="4"/>
        <v>-85350.689962252422</v>
      </c>
      <c r="J184" s="14" t="str">
        <f t="shared" si="5"/>
        <v>-5.85818345526623E-06-0.416465085686376i</v>
      </c>
      <c r="K184" s="16" t="str">
        <f t="shared" si="6"/>
        <v>-8.37503514523433E-07-0.0595391004057915i</v>
      </c>
      <c r="L184" s="14">
        <f t="shared" si="7"/>
        <v>-24.503954629658917</v>
      </c>
      <c r="M184" s="14">
        <f t="shared" si="8"/>
        <v>-90.000805947963258</v>
      </c>
      <c r="N184" s="14">
        <f t="shared" si="9"/>
        <v>-4.7300354583204293E-2</v>
      </c>
      <c r="O184" s="14" t="str">
        <f t="shared" si="10"/>
        <v>-0.0473003545832043i</v>
      </c>
      <c r="P184" s="14">
        <f t="shared" si="11"/>
        <v>45.208963417777774</v>
      </c>
      <c r="Q184" s="14" t="str">
        <f t="shared" si="12"/>
        <v>1+45.2089634177778i</v>
      </c>
      <c r="R184" s="14">
        <f t="shared" si="13"/>
        <v>1.4428392580141844</v>
      </c>
      <c r="S184" s="14" t="str">
        <f t="shared" si="14"/>
        <v>1+1.44283925801418i</v>
      </c>
      <c r="T184" s="14" t="str">
        <f t="shared" si="15"/>
        <v>0.671738329533104-1.01651078754643i</v>
      </c>
      <c r="U184" s="14">
        <f t="shared" si="16"/>
        <v>1.7158797339690024</v>
      </c>
      <c r="V184" s="14">
        <f t="shared" si="17"/>
        <v>-56.542173441682166</v>
      </c>
      <c r="W184" s="14">
        <f t="shared" si="18"/>
        <v>-22.788074895689917</v>
      </c>
      <c r="X184" s="14">
        <f t="shared" si="19"/>
        <v>-146.54297938964544</v>
      </c>
      <c r="Y184" s="14"/>
      <c r="Z184" s="14"/>
    </row>
    <row r="185" spans="1:26" ht="15">
      <c r="A185" s="14"/>
      <c r="B185" s="14"/>
      <c r="C185" s="14"/>
      <c r="D185" s="6">
        <v>100000</v>
      </c>
      <c r="E185" s="15">
        <f t="shared" si="0"/>
        <v>56420.898311748839</v>
      </c>
      <c r="F185" s="15" t="str">
        <f t="shared" si="1"/>
        <v>1+56420.8983117488i</v>
      </c>
      <c r="G185" s="15">
        <f t="shared" si="2"/>
        <v>1.9057061921833194</v>
      </c>
      <c r="H185" s="14" t="str">
        <f t="shared" si="3"/>
        <v>1+1.90570619218332i</v>
      </c>
      <c r="I185" s="14">
        <f t="shared" si="4"/>
        <v>-215043.31056249037</v>
      </c>
      <c r="J185" s="14" t="str">
        <f t="shared" si="5"/>
        <v>-2.32511301394155E-06-0.262371149977875i</v>
      </c>
      <c r="K185" s="16" t="str">
        <f t="shared" si="6"/>
        <v>-3.32405144992463E-07-0.0375093682015868i</v>
      </c>
      <c r="L185" s="14">
        <f t="shared" si="7"/>
        <v>-28.517205018364216</v>
      </c>
      <c r="M185" s="14">
        <f t="shared" si="8"/>
        <v>-90.000507750804886</v>
      </c>
      <c r="N185" s="14">
        <f t="shared" si="9"/>
        <v>-2.9799223387418704E-2</v>
      </c>
      <c r="O185" s="14" t="str">
        <f t="shared" si="10"/>
        <v>-0.0297992233874187i</v>
      </c>
      <c r="P185" s="14">
        <f t="shared" si="11"/>
        <v>71.760259393298057</v>
      </c>
      <c r="Q185" s="14" t="str">
        <f t="shared" si="12"/>
        <v>1+71.7602593932981i</v>
      </c>
      <c r="R185" s="14">
        <f t="shared" si="13"/>
        <v>2.2902210444669593</v>
      </c>
      <c r="S185" s="14" t="str">
        <f t="shared" si="14"/>
        <v>1+2.29022104446696i</v>
      </c>
      <c r="T185" s="14" t="str">
        <f t="shared" si="15"/>
        <v>0.331483734497673-0.788970248032489i</v>
      </c>
      <c r="U185" s="14">
        <f t="shared" si="16"/>
        <v>-1.3527804155395737</v>
      </c>
      <c r="V185" s="14">
        <f t="shared" si="17"/>
        <v>-67.210419572020058</v>
      </c>
      <c r="W185" s="14">
        <f t="shared" si="18"/>
        <v>-29.869985433903786</v>
      </c>
      <c r="X185" s="14">
        <f t="shared" si="19"/>
        <v>-157.21092732282489</v>
      </c>
      <c r="Y185" s="14"/>
      <c r="Z185" s="14"/>
    </row>
    <row r="186" spans="1:26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5">
      <c r="A188" s="14"/>
      <c r="B188" s="14"/>
      <c r="C188" s="14"/>
      <c r="D188" s="14"/>
      <c r="E188" s="15" t="s">
        <v>89</v>
      </c>
      <c r="F188" s="15" t="s">
        <v>90</v>
      </c>
      <c r="G188" s="14" t="s">
        <v>99</v>
      </c>
      <c r="H188" s="14" t="s">
        <v>34</v>
      </c>
      <c r="I188" s="14" t="s">
        <v>30</v>
      </c>
      <c r="J188" s="15" t="s">
        <v>94</v>
      </c>
      <c r="K188" s="14" t="s">
        <v>95</v>
      </c>
      <c r="L188" s="14" t="s">
        <v>96</v>
      </c>
      <c r="M188" s="14" t="s">
        <v>31</v>
      </c>
      <c r="N188" s="14" t="s">
        <v>32</v>
      </c>
      <c r="O188" s="14" t="s">
        <v>28</v>
      </c>
      <c r="P188" s="14" t="s">
        <v>97</v>
      </c>
      <c r="Q188" s="14" t="s">
        <v>35</v>
      </c>
      <c r="R188" s="14" t="s">
        <v>33</v>
      </c>
      <c r="S188" s="14" t="s">
        <v>98</v>
      </c>
      <c r="T188" s="14"/>
      <c r="U188" s="14"/>
      <c r="V188" s="14"/>
      <c r="W188" s="14"/>
      <c r="X188" s="14"/>
      <c r="Y188" s="14"/>
      <c r="Z188" s="14"/>
    </row>
    <row r="189" spans="1:26" ht="15">
      <c r="A189" s="14"/>
      <c r="B189" s="14"/>
      <c r="C189" s="14"/>
      <c r="D189" s="14">
        <v>1</v>
      </c>
      <c r="E189" s="15">
        <f t="shared" ref="E189:E203" si="20" xml:space="preserve"> (RFBB/(RFBB+RFBA*1000))*($B$87/100)*(Pout/Vout)/(2*PI()*CBULK*D189*5)</f>
        <v>1.6425342242236283</v>
      </c>
      <c r="F189" s="15" t="str">
        <f t="shared" ref="F189:F203" si="21">COMPLEX(0,-E189)</f>
        <v>-1.64253422422363i</v>
      </c>
      <c r="G189" s="14">
        <f xml:space="preserve"> 20*LOG10(IMABS(F189))</f>
        <v>4.3102885477306794</v>
      </c>
      <c r="H189" s="14">
        <f t="shared" ref="H189:H203" si="22">IMARGUMENT(F189)*180/PI()</f>
        <v>-90</v>
      </c>
      <c r="I189" s="14">
        <f t="shared" ref="I189:I203" si="23">fVH/D189*(-1)</f>
        <v>-163.83597082989223</v>
      </c>
      <c r="J189" s="14" t="str">
        <f t="shared" ref="J189:J203" si="24">COMPLEX(0,I189)</f>
        <v>-163.835970829892i</v>
      </c>
      <c r="K189" s="14">
        <f t="shared" ref="K189:K203" si="25">D189/fVC</f>
        <v>5.0416278904808993E-2</v>
      </c>
      <c r="L189" s="14" t="str">
        <f t="shared" ref="L189:L203" si="26">COMPLEX(1,K189)</f>
        <v>1+0.050416278904809i</v>
      </c>
      <c r="M189" s="14">
        <f t="shared" ref="M189:M203" si="27">D189/fVP</f>
        <v>5.0416278904808999E-3</v>
      </c>
      <c r="N189" s="14" t="str">
        <f t="shared" ref="N189:N203" si="28">COMPLEX(1,M189)</f>
        <v>1+0.0050416278904809i</v>
      </c>
      <c r="O189" s="14" t="str">
        <f t="shared" ref="O189:O203" si="29">IMPRODUCT(J189,IMDIV(L189,N189))</f>
        <v>7.43381104730317-163.873449339i</v>
      </c>
      <c r="P189" s="14">
        <f t="shared" ref="P189:P203" si="30" xml:space="preserve"> 20*LOG10(IMABS(IMPRODUCT(J189,IMDIV(L189,N189))))</f>
        <v>44.299099688018615</v>
      </c>
      <c r="Q189" s="14">
        <f t="shared" ref="Q189:Q203" si="31">IMARGUMENT(O189)*180/PI()</f>
        <v>-87.402665276311978</v>
      </c>
      <c r="R189" s="14">
        <f t="shared" ref="R189:R203" si="32" xml:space="preserve"> 20*LOG10(IMABS(IMPRODUCT(F189,O189)))</f>
        <v>48.6093882357493</v>
      </c>
      <c r="S189" s="14">
        <f t="shared" ref="S189:S203" si="33">IMARGUMENT(IMPRODUCT(F189,O189))*180/PI()</f>
        <v>-177.40266527631198</v>
      </c>
      <c r="T189" s="14"/>
      <c r="U189" s="14"/>
      <c r="V189" s="14"/>
      <c r="W189" s="14"/>
      <c r="X189" s="14"/>
      <c r="Y189" s="14"/>
      <c r="Z189" s="14"/>
    </row>
    <row r="190" spans="1:26" ht="15">
      <c r="A190" s="14"/>
      <c r="B190" s="14"/>
      <c r="C190" s="14"/>
      <c r="D190" s="14">
        <v>4</v>
      </c>
      <c r="E190" s="15">
        <f t="shared" si="20"/>
        <v>0.41063355605590707</v>
      </c>
      <c r="F190" s="15" t="str">
        <f t="shared" si="21"/>
        <v>-0.410633556055907i</v>
      </c>
      <c r="G190" s="14">
        <f t="shared" ref="G190:G203" si="34" xml:space="preserve"> 20*LOG10(IMABS(F190))</f>
        <v>-7.7309112788285796</v>
      </c>
      <c r="H190" s="14">
        <f t="shared" si="22"/>
        <v>-90</v>
      </c>
      <c r="I190" s="14">
        <f t="shared" si="23"/>
        <v>-40.958992707473058</v>
      </c>
      <c r="J190" s="14" t="str">
        <f t="shared" si="24"/>
        <v>-40.9589927074731i</v>
      </c>
      <c r="K190" s="14">
        <f t="shared" si="25"/>
        <v>0.20166511561923597</v>
      </c>
      <c r="L190" s="14" t="str">
        <f t="shared" si="26"/>
        <v>1+0.201665115619236i</v>
      </c>
      <c r="M190" s="14">
        <f t="shared" si="27"/>
        <v>2.0166511561923599E-2</v>
      </c>
      <c r="N190" s="14" t="str">
        <f t="shared" si="28"/>
        <v>1+0.0201665115619236i</v>
      </c>
      <c r="O190" s="14" t="str">
        <f t="shared" si="29"/>
        <v>7.43097790905483-41.1088496093923i</v>
      </c>
      <c r="P190" s="14">
        <f t="shared" si="30"/>
        <v>32.418344908784753</v>
      </c>
      <c r="Q190" s="14">
        <f t="shared" si="31"/>
        <v>-79.753661662092739</v>
      </c>
      <c r="R190" s="14">
        <f t="shared" si="32"/>
        <v>24.687433629956153</v>
      </c>
      <c r="S190" s="14">
        <f t="shared" si="33"/>
        <v>-169.7536616620927</v>
      </c>
      <c r="T190" s="14"/>
      <c r="U190" s="14"/>
      <c r="V190" s="14"/>
      <c r="W190" s="14"/>
      <c r="X190" s="14"/>
      <c r="Y190" s="14"/>
      <c r="Z190" s="14"/>
    </row>
    <row r="191" spans="1:26" ht="15">
      <c r="A191" s="14"/>
      <c r="B191" s="14"/>
      <c r="C191" s="14"/>
      <c r="D191" s="14">
        <v>9</v>
      </c>
      <c r="E191" s="15">
        <f t="shared" si="20"/>
        <v>0.18250380269151423</v>
      </c>
      <c r="F191" s="15" t="str">
        <f t="shared" si="21"/>
        <v>-0.182503802691514i</v>
      </c>
      <c r="G191" s="14">
        <f t="shared" si="34"/>
        <v>-14.77456164105584</v>
      </c>
      <c r="H191" s="14">
        <f t="shared" si="22"/>
        <v>-90</v>
      </c>
      <c r="I191" s="14">
        <f t="shared" si="23"/>
        <v>-18.203996758876915</v>
      </c>
      <c r="J191" s="14" t="str">
        <f t="shared" si="24"/>
        <v>-18.2039967588769i</v>
      </c>
      <c r="K191" s="14">
        <f t="shared" si="25"/>
        <v>0.45374651014328099</v>
      </c>
      <c r="L191" s="14" t="str">
        <f t="shared" si="26"/>
        <v>1+0.453746510143281i</v>
      </c>
      <c r="M191" s="14">
        <f t="shared" si="27"/>
        <v>4.5374651014328103E-2</v>
      </c>
      <c r="N191" s="14" t="str">
        <f t="shared" si="28"/>
        <v>1+0.0453746510143281i</v>
      </c>
      <c r="O191" s="14" t="str">
        <f t="shared" si="29"/>
        <v>7.41872588976957-18.5406188570962i</v>
      </c>
      <c r="P191" s="14">
        <f t="shared" si="30"/>
        <v>26.007464826466204</v>
      </c>
      <c r="Q191" s="14">
        <f t="shared" si="31"/>
        <v>-68.191988407564111</v>
      </c>
      <c r="R191" s="14">
        <f t="shared" si="32"/>
        <v>11.232903185410368</v>
      </c>
      <c r="S191" s="14">
        <f t="shared" si="33"/>
        <v>-158.19198840756414</v>
      </c>
      <c r="T191" s="14"/>
      <c r="U191" s="14"/>
      <c r="V191" s="14"/>
      <c r="W191" s="14"/>
      <c r="X191" s="14"/>
      <c r="Y191" s="14"/>
      <c r="Z191" s="14"/>
    </row>
    <row r="192" spans="1:26" ht="15">
      <c r="A192" s="14">
        <f xml:space="preserve"> (RFBB/(RFBB+RFBA*1000))/(2*PI()*CBULK*VEAD)</f>
        <v>1.0758599168664766</v>
      </c>
      <c r="B192" s="14"/>
      <c r="C192" s="14"/>
      <c r="D192" s="6">
        <v>16</v>
      </c>
      <c r="E192" s="15">
        <f t="shared" si="20"/>
        <v>0.10265838901397677</v>
      </c>
      <c r="F192" s="15" t="str">
        <f t="shared" si="21"/>
        <v>-0.102658389013977i</v>
      </c>
      <c r="G192" s="14">
        <f t="shared" si="34"/>
        <v>-19.772111105387808</v>
      </c>
      <c r="H192" s="14">
        <f t="shared" si="22"/>
        <v>-90</v>
      </c>
      <c r="I192" s="14">
        <f t="shared" si="23"/>
        <v>-10.239748176868265</v>
      </c>
      <c r="J192" s="14" t="str">
        <f t="shared" si="24"/>
        <v>-10.2397481768683i</v>
      </c>
      <c r="K192" s="14">
        <f t="shared" si="25"/>
        <v>0.8066604624769439</v>
      </c>
      <c r="L192" s="14" t="str">
        <f t="shared" si="26"/>
        <v>1+0.806660462476944i</v>
      </c>
      <c r="M192" s="14">
        <f t="shared" si="27"/>
        <v>8.0666046247694398E-2</v>
      </c>
      <c r="N192" s="14" t="str">
        <f t="shared" si="28"/>
        <v>1+0.0806660462476944i</v>
      </c>
      <c r="O192" s="14" t="str">
        <f t="shared" si="29"/>
        <v>7.3859396095878-10.835542722998i</v>
      </c>
      <c r="P192" s="14">
        <f t="shared" si="30"/>
        <v>22.354301893379262</v>
      </c>
      <c r="Q192" s="14">
        <f t="shared" si="31"/>
        <v>-55.720091869228519</v>
      </c>
      <c r="R192" s="14">
        <f t="shared" si="32"/>
        <v>2.5821907879914772</v>
      </c>
      <c r="S192" s="14">
        <f t="shared" si="33"/>
        <v>-145.72009186922858</v>
      </c>
      <c r="T192" s="14"/>
      <c r="U192" s="14"/>
      <c r="V192" s="14"/>
      <c r="W192" s="14"/>
      <c r="X192" s="14"/>
      <c r="Y192" s="14"/>
      <c r="Z192" s="14"/>
    </row>
    <row r="193" spans="1:26" ht="15">
      <c r="A193" s="14">
        <f>(2*PI()*CBULK*VEAD*D189)</f>
        <v>5.9158606276829336E-3</v>
      </c>
      <c r="B193" s="14"/>
      <c r="C193" s="14"/>
      <c r="D193" s="6">
        <v>25</v>
      </c>
      <c r="E193" s="15">
        <f t="shared" si="20"/>
        <v>6.5701368968945129E-2</v>
      </c>
      <c r="F193" s="15" t="str">
        <f t="shared" si="21"/>
        <v>-0.0657013689689451i</v>
      </c>
      <c r="G193" s="14">
        <f t="shared" si="34"/>
        <v>-23.648511625710086</v>
      </c>
      <c r="H193" s="14">
        <f t="shared" si="22"/>
        <v>-90</v>
      </c>
      <c r="I193" s="14">
        <f t="shared" si="23"/>
        <v>-6.5534388331956892</v>
      </c>
      <c r="J193" s="14" t="str">
        <f t="shared" si="24"/>
        <v>-6.55343883319569i</v>
      </c>
      <c r="K193" s="14">
        <f t="shared" si="25"/>
        <v>1.2604069726202249</v>
      </c>
      <c r="L193" s="14" t="str">
        <f t="shared" si="26"/>
        <v>1+1.26040697262022i</v>
      </c>
      <c r="M193" s="14">
        <f t="shared" si="27"/>
        <v>0.12604069726202249</v>
      </c>
      <c r="N193" s="14" t="str">
        <f t="shared" si="28"/>
        <v>1+0.126040697262022i</v>
      </c>
      <c r="O193" s="14" t="str">
        <f t="shared" si="29"/>
        <v>7.31774836611411-7.47577293964876i</v>
      </c>
      <c r="P193" s="14">
        <f t="shared" si="30"/>
        <v>20.391626799102799</v>
      </c>
      <c r="Q193" s="14">
        <f t="shared" si="31"/>
        <v>-45.612010932618631</v>
      </c>
      <c r="R193" s="14">
        <f t="shared" si="32"/>
        <v>-3.2568848266072896</v>
      </c>
      <c r="S193" s="14">
        <f t="shared" si="33"/>
        <v>-135.61201093261869</v>
      </c>
      <c r="T193" s="14"/>
      <c r="U193" s="14"/>
      <c r="V193" s="14"/>
      <c r="W193" s="14"/>
      <c r="X193" s="14"/>
      <c r="Y193" s="14"/>
      <c r="Z193" s="14"/>
    </row>
    <row r="194" spans="1:26" ht="15">
      <c r="A194" s="14"/>
      <c r="B194" s="14"/>
      <c r="C194" s="14"/>
      <c r="D194" s="6">
        <v>40</v>
      </c>
      <c r="E194" s="15">
        <f t="shared" si="20"/>
        <v>4.1063355605590698E-2</v>
      </c>
      <c r="F194" s="15" t="str">
        <f t="shared" si="21"/>
        <v>-0.0410633556055907i</v>
      </c>
      <c r="G194" s="14">
        <f t="shared" si="34"/>
        <v>-27.730911278828579</v>
      </c>
      <c r="H194" s="14">
        <f t="shared" si="22"/>
        <v>-90</v>
      </c>
      <c r="I194" s="14">
        <f t="shared" si="23"/>
        <v>-4.0958992707473056</v>
      </c>
      <c r="J194" s="14" t="str">
        <f t="shared" si="24"/>
        <v>-4.09589927074731i</v>
      </c>
      <c r="K194" s="14">
        <f t="shared" si="25"/>
        <v>2.0166511561923599</v>
      </c>
      <c r="L194" s="14" t="str">
        <f t="shared" si="26"/>
        <v>1+2.01665115619236i</v>
      </c>
      <c r="M194" s="14">
        <f t="shared" si="27"/>
        <v>0.201665115619236</v>
      </c>
      <c r="N194" s="14" t="str">
        <f t="shared" si="28"/>
        <v>1+0.201665115619236i</v>
      </c>
      <c r="O194" s="14" t="str">
        <f t="shared" si="29"/>
        <v>7.14348298449057-5.53649059273863i</v>
      </c>
      <c r="P194" s="14">
        <f t="shared" si="30"/>
        <v>19.121267736361613</v>
      </c>
      <c r="Q194" s="14">
        <f t="shared" si="31"/>
        <v>-37.777143875367194</v>
      </c>
      <c r="R194" s="14">
        <f t="shared" si="32"/>
        <v>-8.6096435424669586</v>
      </c>
      <c r="S194" s="14">
        <f t="shared" si="33"/>
        <v>-127.77714387536713</v>
      </c>
      <c r="T194" s="14"/>
      <c r="U194" s="14"/>
      <c r="V194" s="14"/>
      <c r="W194" s="14"/>
      <c r="X194" s="14"/>
      <c r="Y194" s="14"/>
      <c r="Z194" s="14"/>
    </row>
    <row r="195" spans="1:26" ht="15">
      <c r="A195" s="14"/>
      <c r="B195" s="14"/>
      <c r="C195" s="14"/>
      <c r="D195" s="6">
        <v>63</v>
      </c>
      <c r="E195" s="15">
        <f t="shared" si="20"/>
        <v>2.6071971813073462E-2</v>
      </c>
      <c r="F195" s="15" t="str">
        <f t="shared" si="21"/>
        <v>-0.0260719718130735i</v>
      </c>
      <c r="G195" s="14">
        <f t="shared" si="34"/>
        <v>-31.67652244134095</v>
      </c>
      <c r="H195" s="14">
        <f t="shared" si="22"/>
        <v>-90</v>
      </c>
      <c r="I195" s="14">
        <f t="shared" si="23"/>
        <v>-2.6005709655538451</v>
      </c>
      <c r="J195" s="14" t="str">
        <f t="shared" si="24"/>
        <v>-2.60057096555385i</v>
      </c>
      <c r="K195" s="14">
        <f t="shared" si="25"/>
        <v>3.1762255710029668</v>
      </c>
      <c r="L195" s="14" t="str">
        <f t="shared" si="26"/>
        <v>1+3.17622557100297i</v>
      </c>
      <c r="M195" s="14">
        <f t="shared" si="27"/>
        <v>0.31762255710029669</v>
      </c>
      <c r="N195" s="14" t="str">
        <f t="shared" si="28"/>
        <v>1+0.317622557100297i</v>
      </c>
      <c r="O195" s="14" t="str">
        <f t="shared" si="29"/>
        <v>6.75275451409748-4.74539812179206i</v>
      </c>
      <c r="P195" s="14">
        <f t="shared" si="30"/>
        <v>18.332650560293505</v>
      </c>
      <c r="Q195" s="14">
        <f t="shared" si="31"/>
        <v>-35.097062254546131</v>
      </c>
      <c r="R195" s="14">
        <f t="shared" si="32"/>
        <v>-13.343871881047448</v>
      </c>
      <c r="S195" s="14">
        <f t="shared" si="33"/>
        <v>-125.0970622545463</v>
      </c>
      <c r="T195" s="14"/>
      <c r="U195" s="14"/>
      <c r="V195" s="14"/>
      <c r="W195" s="14"/>
      <c r="X195" s="14"/>
      <c r="Y195" s="14"/>
      <c r="Z195" s="14"/>
    </row>
    <row r="196" spans="1:26" ht="15">
      <c r="A196" s="14"/>
      <c r="B196" s="14"/>
      <c r="C196" s="14"/>
      <c r="D196" s="6">
        <v>100</v>
      </c>
      <c r="E196" s="15">
        <f t="shared" si="20"/>
        <v>1.6425342242236282E-2</v>
      </c>
      <c r="F196" s="15" t="str">
        <f t="shared" si="21"/>
        <v>-0.0164253422422363i</v>
      </c>
      <c r="G196" s="14">
        <f t="shared" si="34"/>
        <v>-35.689711452269322</v>
      </c>
      <c r="H196" s="14">
        <f t="shared" si="22"/>
        <v>-90</v>
      </c>
      <c r="I196" s="14">
        <f t="shared" si="23"/>
        <v>-1.6383597082989223</v>
      </c>
      <c r="J196" s="14" t="str">
        <f t="shared" si="24"/>
        <v>-1.63835970829892i</v>
      </c>
      <c r="K196" s="14">
        <f t="shared" si="25"/>
        <v>5.0416278904808998</v>
      </c>
      <c r="L196" s="14" t="str">
        <f t="shared" si="26"/>
        <v>1+5.0416278904809i</v>
      </c>
      <c r="M196" s="14">
        <f t="shared" si="27"/>
        <v>0.50416278904808998</v>
      </c>
      <c r="N196" s="14" t="str">
        <f t="shared" si="28"/>
        <v>1+0.50416278904809i</v>
      </c>
      <c r="O196" s="14" t="str">
        <f t="shared" si="29"/>
        <v>5.92737828812032-4.62672327778075i</v>
      </c>
      <c r="P196" s="14">
        <f t="shared" si="30"/>
        <v>17.523587357437997</v>
      </c>
      <c r="Q196" s="14">
        <f t="shared" si="31"/>
        <v>-37.974467859450002</v>
      </c>
      <c r="R196" s="14">
        <f t="shared" si="32"/>
        <v>-18.166124094831325</v>
      </c>
      <c r="S196" s="14">
        <f t="shared" si="33"/>
        <v>-127.97446785944997</v>
      </c>
      <c r="T196" s="14"/>
      <c r="U196" s="14"/>
      <c r="V196" s="14"/>
      <c r="W196" s="14"/>
      <c r="X196" s="14"/>
      <c r="Y196" s="14"/>
      <c r="Z196" s="14"/>
    </row>
    <row r="197" spans="1:26" ht="15">
      <c r="A197" s="14"/>
      <c r="B197" s="14"/>
      <c r="C197" s="14"/>
      <c r="D197" s="6">
        <v>160</v>
      </c>
      <c r="E197" s="15">
        <f t="shared" si="20"/>
        <v>1.0265838901397675E-2</v>
      </c>
      <c r="F197" s="15" t="str">
        <f t="shared" si="21"/>
        <v>-0.0102658389013977i</v>
      </c>
      <c r="G197" s="14">
        <f t="shared" si="34"/>
        <v>-39.772111105387808</v>
      </c>
      <c r="H197" s="14">
        <f t="shared" si="22"/>
        <v>-90</v>
      </c>
      <c r="I197" s="14">
        <f t="shared" si="23"/>
        <v>-1.0239748176868264</v>
      </c>
      <c r="J197" s="14" t="str">
        <f t="shared" si="24"/>
        <v>-1.02397481768683i</v>
      </c>
      <c r="K197" s="14">
        <f t="shared" si="25"/>
        <v>8.0666046247694396</v>
      </c>
      <c r="L197" s="14" t="str">
        <f t="shared" si="26"/>
        <v>1+8.06660462476944i</v>
      </c>
      <c r="M197" s="14">
        <f t="shared" si="27"/>
        <v>0.80666046247694401</v>
      </c>
      <c r="N197" s="14" t="str">
        <f t="shared" si="28"/>
        <v>1+0.806660462476944i</v>
      </c>
      <c r="O197" s="14" t="str">
        <f t="shared" si="29"/>
        <v>4.50354094526144-4.65680323937527i</v>
      </c>
      <c r="P197" s="14">
        <f t="shared" si="30"/>
        <v>16.229151424393358</v>
      </c>
      <c r="Q197" s="14">
        <f t="shared" si="31"/>
        <v>-45.958529853774607</v>
      </c>
      <c r="R197" s="14">
        <f t="shared" si="32"/>
        <v>-23.542959680994443</v>
      </c>
      <c r="S197" s="14">
        <f t="shared" si="33"/>
        <v>-135.95852985377462</v>
      </c>
      <c r="T197" s="14"/>
      <c r="U197" s="14"/>
      <c r="V197" s="14"/>
      <c r="W197" s="14"/>
      <c r="X197" s="14"/>
      <c r="Y197" s="14"/>
      <c r="Z197" s="14"/>
    </row>
    <row r="198" spans="1:26" ht="15">
      <c r="A198" s="14"/>
      <c r="B198" s="14"/>
      <c r="C198" s="14"/>
      <c r="D198" s="6">
        <v>250</v>
      </c>
      <c r="E198" s="15">
        <f t="shared" si="20"/>
        <v>6.5701368968945125E-3</v>
      </c>
      <c r="F198" s="15" t="str">
        <f t="shared" si="21"/>
        <v>-0.00657013689689451i</v>
      </c>
      <c r="G198" s="14">
        <f t="shared" si="34"/>
        <v>-43.648511625710086</v>
      </c>
      <c r="H198" s="14">
        <f t="shared" si="22"/>
        <v>-90</v>
      </c>
      <c r="I198" s="14">
        <f t="shared" si="23"/>
        <v>-0.65534388331956894</v>
      </c>
      <c r="J198" s="14" t="str">
        <f t="shared" si="24"/>
        <v>-0.655343883319569i</v>
      </c>
      <c r="K198" s="14">
        <f t="shared" si="25"/>
        <v>12.604069726202249</v>
      </c>
      <c r="L198" s="14" t="str">
        <f t="shared" si="26"/>
        <v>1+12.6040697262022i</v>
      </c>
      <c r="M198" s="14">
        <f t="shared" si="27"/>
        <v>1.2604069726202249</v>
      </c>
      <c r="N198" s="14" t="str">
        <f t="shared" si="28"/>
        <v>1+1.26040697262022i</v>
      </c>
      <c r="O198" s="14" t="str">
        <f t="shared" si="29"/>
        <v>2.87179405458545-4.27497313364837i</v>
      </c>
      <c r="P198" s="14">
        <f t="shared" si="30"/>
        <v>14.236160363482796</v>
      </c>
      <c r="Q198" s="14">
        <f t="shared" si="31"/>
        <v>-56.10802151409375</v>
      </c>
      <c r="R198" s="14">
        <f t="shared" si="32"/>
        <v>-29.412351262227297</v>
      </c>
      <c r="S198" s="14">
        <f t="shared" si="33"/>
        <v>-146.10802151409382</v>
      </c>
      <c r="T198" s="14"/>
      <c r="U198" s="14"/>
      <c r="V198" s="14"/>
      <c r="W198" s="14"/>
      <c r="X198" s="14"/>
      <c r="Y198" s="14"/>
      <c r="Z198" s="14"/>
    </row>
    <row r="199" spans="1:26" ht="15">
      <c r="A199" s="14"/>
      <c r="B199" s="14"/>
      <c r="C199" s="14"/>
      <c r="D199" s="6">
        <v>400</v>
      </c>
      <c r="E199" s="15">
        <f t="shared" si="20"/>
        <v>4.1063355605590705E-3</v>
      </c>
      <c r="F199" s="15" t="str">
        <f t="shared" si="21"/>
        <v>-0.00410633556055907i</v>
      </c>
      <c r="G199" s="14">
        <f t="shared" si="34"/>
        <v>-47.730911278828579</v>
      </c>
      <c r="H199" s="14">
        <f t="shared" si="22"/>
        <v>-90</v>
      </c>
      <c r="I199" s="14">
        <f t="shared" si="23"/>
        <v>-0.40958992707473058</v>
      </c>
      <c r="J199" s="14" t="str">
        <f t="shared" si="24"/>
        <v>-0.409589927074731i</v>
      </c>
      <c r="K199" s="14">
        <f t="shared" si="25"/>
        <v>20.166511561923599</v>
      </c>
      <c r="L199" s="14" t="str">
        <f t="shared" si="26"/>
        <v>1+20.1665115619236i</v>
      </c>
      <c r="M199" s="14">
        <f t="shared" si="27"/>
        <v>2.0166511561923599</v>
      </c>
      <c r="N199" s="14" t="str">
        <f t="shared" si="28"/>
        <v>1+2.01665115619236i</v>
      </c>
      <c r="O199" s="14" t="str">
        <f t="shared" si="29"/>
        <v>1.46717452026561-3.36836911970434i</v>
      </c>
      <c r="P199" s="14">
        <f t="shared" si="30"/>
        <v>11.302858840681399</v>
      </c>
      <c r="Q199" s="14">
        <f t="shared" si="31"/>
        <v>-66.46330350296634</v>
      </c>
      <c r="R199" s="14">
        <f t="shared" si="32"/>
        <v>-36.428052438147169</v>
      </c>
      <c r="S199" s="14">
        <f t="shared" si="33"/>
        <v>-156.46330350296634</v>
      </c>
      <c r="T199" s="14"/>
      <c r="U199" s="14"/>
      <c r="V199" s="14"/>
      <c r="W199" s="14"/>
      <c r="X199" s="14"/>
      <c r="Y199" s="14"/>
      <c r="Z199" s="14"/>
    </row>
    <row r="200" spans="1:26" ht="15">
      <c r="A200" s="14"/>
      <c r="B200" s="14"/>
      <c r="C200" s="14"/>
      <c r="D200" s="6">
        <v>630</v>
      </c>
      <c r="E200" s="15">
        <f t="shared" si="20"/>
        <v>2.6071971813073462E-3</v>
      </c>
      <c r="F200" s="15" t="str">
        <f t="shared" si="21"/>
        <v>-0.00260719718130735i</v>
      </c>
      <c r="G200" s="14">
        <f t="shared" si="34"/>
        <v>-51.676522441340957</v>
      </c>
      <c r="H200" s="14">
        <f t="shared" si="22"/>
        <v>-90</v>
      </c>
      <c r="I200" s="14">
        <f t="shared" si="23"/>
        <v>-0.2600570965553845</v>
      </c>
      <c r="J200" s="14" t="str">
        <f t="shared" si="24"/>
        <v>-0.260057096555385i</v>
      </c>
      <c r="K200" s="14">
        <f t="shared" si="25"/>
        <v>31.762255710029667</v>
      </c>
      <c r="L200" s="14" t="str">
        <f t="shared" si="26"/>
        <v>1+31.7622557100297i</v>
      </c>
      <c r="M200" s="14">
        <f t="shared" si="27"/>
        <v>3.1762255710029672</v>
      </c>
      <c r="N200" s="14" t="str">
        <f t="shared" si="28"/>
        <v>1+3.17622557100297i</v>
      </c>
      <c r="O200" s="14" t="str">
        <f t="shared" si="29"/>
        <v>0.670429822877574-2.38949344354213i</v>
      </c>
      <c r="P200" s="14">
        <f t="shared" si="30"/>
        <v>7.8952113811366917</v>
      </c>
      <c r="Q200" s="14">
        <f t="shared" si="31"/>
        <v>-74.327259275535894</v>
      </c>
      <c r="R200" s="14">
        <f t="shared" si="32"/>
        <v>-43.781311060204253</v>
      </c>
      <c r="S200" s="14">
        <f t="shared" si="33"/>
        <v>-164.32725927553585</v>
      </c>
      <c r="T200" s="14"/>
      <c r="U200" s="14"/>
      <c r="V200" s="14"/>
      <c r="W200" s="14"/>
      <c r="X200" s="14"/>
      <c r="Y200" s="14"/>
      <c r="Z200" s="14"/>
    </row>
    <row r="201" spans="1:26" ht="15">
      <c r="A201" s="14"/>
      <c r="B201" s="14"/>
      <c r="C201" s="14"/>
      <c r="D201" s="6">
        <v>1000</v>
      </c>
      <c r="E201" s="15">
        <f t="shared" si="20"/>
        <v>1.6425342242236281E-3</v>
      </c>
      <c r="F201" s="15" t="str">
        <f t="shared" si="21"/>
        <v>-0.00164253422422363i</v>
      </c>
      <c r="G201" s="14">
        <f t="shared" si="34"/>
        <v>-55.689711452269322</v>
      </c>
      <c r="H201" s="14">
        <f t="shared" si="22"/>
        <v>-90</v>
      </c>
      <c r="I201" s="14">
        <f t="shared" si="23"/>
        <v>-0.16383597082989224</v>
      </c>
      <c r="J201" s="14" t="str">
        <f t="shared" si="24"/>
        <v>-0.163835970829892i</v>
      </c>
      <c r="K201" s="14">
        <f t="shared" si="25"/>
        <v>50.416278904808998</v>
      </c>
      <c r="L201" s="14" t="str">
        <f t="shared" si="26"/>
        <v>1+50.416278904809i</v>
      </c>
      <c r="M201" s="14">
        <f t="shared" si="27"/>
        <v>5.0416278904808998</v>
      </c>
      <c r="N201" s="14" t="str">
        <f t="shared" si="28"/>
        <v>1+5.0416278904809i</v>
      </c>
      <c r="O201" s="14" t="str">
        <f t="shared" si="29"/>
        <v>0.281398920562164-1.58254461708731i</v>
      </c>
      <c r="P201" s="14">
        <f t="shared" si="30"/>
        <v>4.1223079235861722</v>
      </c>
      <c r="Q201" s="14">
        <f t="shared" si="31"/>
        <v>-79.917378575011313</v>
      </c>
      <c r="R201" s="14">
        <f t="shared" si="32"/>
        <v>-51.56740352868313</v>
      </c>
      <c r="S201" s="14">
        <f t="shared" si="33"/>
        <v>-169.9173785750113</v>
      </c>
      <c r="T201" s="14"/>
      <c r="U201" s="14"/>
      <c r="V201" s="14"/>
      <c r="W201" s="14"/>
      <c r="X201" s="14"/>
      <c r="Y201" s="14"/>
      <c r="Z201" s="14"/>
    </row>
    <row r="202" spans="1:26" ht="15">
      <c r="A202" s="14"/>
      <c r="B202" s="14"/>
      <c r="C202" s="14"/>
      <c r="D202" s="6">
        <v>1600</v>
      </c>
      <c r="E202" s="15">
        <f t="shared" si="20"/>
        <v>1.0265838901397676E-3</v>
      </c>
      <c r="F202" s="15" t="str">
        <f t="shared" si="21"/>
        <v>-0.00102658389013977i</v>
      </c>
      <c r="G202" s="14">
        <f t="shared" si="34"/>
        <v>-59.772111105387808</v>
      </c>
      <c r="H202" s="14">
        <f t="shared" si="22"/>
        <v>-90</v>
      </c>
      <c r="I202" s="14">
        <f t="shared" si="23"/>
        <v>-0.10239748176868264</v>
      </c>
      <c r="J202" s="14" t="str">
        <f t="shared" si="24"/>
        <v>-0.102397481768683i</v>
      </c>
      <c r="K202" s="14">
        <f t="shared" si="25"/>
        <v>80.666046247694396</v>
      </c>
      <c r="L202" s="14" t="str">
        <f t="shared" si="26"/>
        <v>1+80.6660462476944i</v>
      </c>
      <c r="M202" s="14">
        <f t="shared" si="27"/>
        <v>8.0666046247694396</v>
      </c>
      <c r="N202" s="14" t="str">
        <f t="shared" si="28"/>
        <v>1+8.06660462476944i</v>
      </c>
      <c r="O202" s="14" t="str">
        <f t="shared" si="29"/>
        <v>0.11251683977229-1.01002634184028i</v>
      </c>
      <c r="P202" s="14">
        <f t="shared" si="30"/>
        <v>0.14021801060866387</v>
      </c>
      <c r="Q202" s="14">
        <f t="shared" si="31"/>
        <v>-83.643463820595613</v>
      </c>
      <c r="R202" s="14">
        <f t="shared" si="32"/>
        <v>-59.631893094779109</v>
      </c>
      <c r="S202" s="14">
        <f t="shared" si="33"/>
        <v>-173.6434638205956</v>
      </c>
      <c r="T202" s="14"/>
      <c r="U202" s="14"/>
      <c r="V202" s="14"/>
      <c r="W202" s="14"/>
      <c r="X202" s="14"/>
      <c r="Y202" s="14"/>
      <c r="Z202" s="14"/>
    </row>
    <row r="203" spans="1:26" ht="15">
      <c r="A203" s="14"/>
      <c r="B203" s="14"/>
      <c r="C203" s="14"/>
      <c r="D203" s="6">
        <v>2500</v>
      </c>
      <c r="E203" s="15">
        <f t="shared" si="20"/>
        <v>6.5701368968945119E-4</v>
      </c>
      <c r="F203" s="15" t="str">
        <f t="shared" si="21"/>
        <v>-0.000657013689689451i</v>
      </c>
      <c r="G203" s="14">
        <f t="shared" si="34"/>
        <v>-63.648511625710086</v>
      </c>
      <c r="H203" s="14">
        <f t="shared" si="22"/>
        <v>-90</v>
      </c>
      <c r="I203" s="14">
        <f t="shared" si="23"/>
        <v>-6.5534388331956892E-2</v>
      </c>
      <c r="J203" s="14" t="str">
        <f t="shared" si="24"/>
        <v>-0.0655343883319569i</v>
      </c>
      <c r="K203" s="14">
        <f t="shared" si="25"/>
        <v>126.04069726202249</v>
      </c>
      <c r="L203" s="14" t="str">
        <f t="shared" si="26"/>
        <v>1+126.040697262022i</v>
      </c>
      <c r="M203" s="14">
        <f t="shared" si="27"/>
        <v>12.604069726202249</v>
      </c>
      <c r="N203" s="14" t="str">
        <f t="shared" si="28"/>
        <v>1+12.6040697262022i</v>
      </c>
      <c r="O203" s="14" t="str">
        <f t="shared" si="29"/>
        <v>0.0465024416263486-0.651654405029103i</v>
      </c>
      <c r="P203" s="14">
        <f t="shared" si="30"/>
        <v>-3.6975936896595356</v>
      </c>
      <c r="Q203" s="14">
        <f t="shared" si="31"/>
        <v>-85.918258620190542</v>
      </c>
      <c r="R203" s="14">
        <f t="shared" si="32"/>
        <v>-67.346105315369613</v>
      </c>
      <c r="S203" s="14">
        <f t="shared" si="33"/>
        <v>-175.91825862019053</v>
      </c>
      <c r="T203" s="14"/>
      <c r="U203" s="14"/>
      <c r="V203" s="14"/>
      <c r="W203" s="14"/>
      <c r="X203" s="14"/>
      <c r="Y203" s="14"/>
      <c r="Z203" s="14"/>
    </row>
    <row r="204" spans="1:26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>
      <c r="A206" s="90"/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14"/>
      <c r="Z206" s="14"/>
    </row>
    <row r="207" spans="1:26">
      <c r="A207" s="90"/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14"/>
      <c r="Z207" s="14"/>
    </row>
    <row r="208" spans="1:26">
      <c r="A208" s="90"/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14"/>
      <c r="Z208" s="14"/>
    </row>
    <row r="209" spans="1:26">
      <c r="A209" s="90"/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14"/>
      <c r="Z209" s="14"/>
    </row>
    <row r="210" spans="1:26">
      <c r="A210" s="90"/>
      <c r="B210" s="90"/>
      <c r="C210" s="90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30"/>
      <c r="Z210" s="30"/>
    </row>
    <row r="211" spans="1:26">
      <c r="A211" s="90"/>
      <c r="B211" s="90"/>
      <c r="C211" s="90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30"/>
      <c r="Z211" s="30"/>
    </row>
    <row r="212" spans="1:26">
      <c r="A212" s="90"/>
      <c r="B212" s="90"/>
      <c r="C212" s="90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</row>
    <row r="213" spans="1:26">
      <c r="A213" s="59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</row>
    <row r="214" spans="1:26">
      <c r="A214" s="59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</row>
    <row r="215" spans="1:26">
      <c r="A215" s="59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</row>
    <row r="216" spans="1:26">
      <c r="A216" s="59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</row>
    <row r="217" spans="1:26">
      <c r="A217" s="59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</row>
    <row r="218" spans="1:26">
      <c r="A218" s="59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</row>
    <row r="219" spans="1:26">
      <c r="A219" s="59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</row>
    <row r="220" spans="1:26">
      <c r="A220" s="59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</row>
    <row r="221" spans="1:26">
      <c r="A221" s="59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</row>
    <row r="222" spans="1:26">
      <c r="A222" s="59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</row>
    <row r="223" spans="1:26">
      <c r="A223" s="59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</row>
    <row r="224" spans="1:26">
      <c r="A224" s="59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</row>
    <row r="225" spans="1:24">
      <c r="A225" s="59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</row>
    <row r="226" spans="1:24">
      <c r="A226" s="59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</row>
    <row r="227" spans="1:24">
      <c r="A227" s="59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</row>
    <row r="228" spans="1:24">
      <c r="A228" s="59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</row>
  </sheetData>
  <sheetProtection algorithmName="SHA-512" hashValue="rADScW4GuywqcqTdW2YIFPo0f+bbLfr9rB50Qn84XgMl7Lipm17BtebrXh4ZmLv49UZdntpSf2pbgvSVfogOgw==" saltValue="g9HO2RFOy42kK4efvhBJYQ==" spinCount="100000" sheet="1" selectLockedCells="1"/>
  <mergeCells count="3">
    <mergeCell ref="A76:A77"/>
    <mergeCell ref="B6:C6"/>
    <mergeCell ref="A57:A58"/>
  </mergeCells>
  <phoneticPr fontId="1" type="noConversion"/>
  <dataValidations count="9">
    <dataValidation type="decimal" allowBlank="1" showInputMessage="1" showErrorMessage="1" error="Input of PVO should between 0.5V ~ 3.5V" sqref="B81" xr:uid="{00000000-0002-0000-0000-000000000000}">
      <formula1>0.5</formula1>
      <formula2>3.5</formula2>
    </dataValidation>
    <dataValidation type="whole" allowBlank="1" showInputMessage="1" showErrorMessage="1" error="Please Input &quot;1&quot; or &quot;2&quot;, select a AC Input Range" sqref="B37" xr:uid="{00000000-0002-0000-0000-000001000000}">
      <formula1>1</formula1>
      <formula2>2</formula2>
    </dataValidation>
    <dataValidation type="whole" allowBlank="1" showInputMessage="1" showErrorMessage="1" error="Line Frequency should between 47Hz ~ 63Hz" sqref="B63" xr:uid="{00000000-0002-0000-0000-000002000000}">
      <formula1>47</formula1>
      <formula2>63</formula2>
    </dataValidation>
    <dataValidation type="whole" allowBlank="1" showInputMessage="1" showErrorMessage="1" error="System Frequency should between 75kHz ~ 55kHz or 40kHz ~ 18kHz" sqref="B21" xr:uid="{00000000-0002-0000-0000-000003000000}">
      <formula1>18</formula1>
      <formula2>75</formula2>
    </dataValidation>
    <dataValidation type="whole" allowBlank="1" showInputMessage="1" showErrorMessage="1" error="Efficiency should between 93~100%" sqref="B11" xr:uid="{00000000-0002-0000-0000-000004000000}">
      <formula1>93</formula1>
      <formula2>99</formula2>
    </dataValidation>
    <dataValidation type="whole" allowBlank="1" showInputMessage="1" showErrorMessage="1" error="This value shoule less than 264VAC" sqref="B27" xr:uid="{00000000-0002-0000-0000-000005000000}">
      <formula1>85</formula1>
      <formula2>264</formula2>
    </dataValidation>
    <dataValidation type="whole" allowBlank="1" showInputMessage="1" showErrorMessage="1" error="This value should higher than peak of maximum AC input 20V at least" sqref="B14" xr:uid="{00000000-0002-0000-0000-000006000000}">
      <formula1>ROUND(B28,0)+20</formula1>
      <formula2>1000</formula2>
    </dataValidation>
    <dataValidation type="decimal" errorStyle="information" allowBlank="1" showInputMessage="1" showErrorMessage="1" error="This value should between 0.5~2" sqref="B54" xr:uid="{00000000-0002-0000-0000-000007000000}">
      <formula1>0.5</formula1>
      <formula2>2</formula2>
    </dataValidation>
    <dataValidation type="decimal" errorStyle="information" allowBlank="1" showErrorMessage="1" error="RLS value exceeds recommended range. Please adjust the inductance value." sqref="B107" xr:uid="{00000000-0002-0000-0000-000008000000}">
      <formula1>12</formula1>
      <formula2>87</formula2>
    </dataValidation>
  </dataValidations>
  <pageMargins left="0.7" right="0.7" top="0.75" bottom="0.75" header="0.3" footer="0.3"/>
  <pageSetup paperSize="9" orientation="portrait" r:id="rId1"/>
  <ignoredErrors>
    <ignoredError sqref="G163:G185 R163:R185 M189:M203" formula="1"/>
  </ignoredErrors>
  <drawing r:id="rId2"/>
  <legacyDrawing r:id="rId3"/>
  <oleObjects>
    <mc:AlternateContent xmlns:mc="http://schemas.openxmlformats.org/markup-compatibility/2006">
      <mc:Choice Requires="x14">
        <oleObject progId="Visio.Drawing.11" shapeId="1026" r:id="rId4">
          <objectPr defaultSize="0" autoPict="0" r:id="rId5">
            <anchor moveWithCells="1">
              <from>
                <xdr:col>3</xdr:col>
                <xdr:colOff>190500</xdr:colOff>
                <xdr:row>7</xdr:row>
                <xdr:rowOff>9525</xdr:rowOff>
              </from>
              <to>
                <xdr:col>7</xdr:col>
                <xdr:colOff>971550</xdr:colOff>
                <xdr:row>13</xdr:row>
                <xdr:rowOff>0</xdr:rowOff>
              </to>
            </anchor>
          </objectPr>
        </oleObject>
      </mc:Choice>
      <mc:Fallback>
        <oleObject progId="Visio.Drawing.11" shapeId="1026" r:id="rId4"/>
      </mc:Fallback>
    </mc:AlternateContent>
    <mc:AlternateContent xmlns:mc="http://schemas.openxmlformats.org/markup-compatibility/2006">
      <mc:Choice Requires="x14">
        <oleObject progId="Visio.Drawing.11" shapeId="1031" r:id="rId6">
          <objectPr defaultSize="0" autoPict="0" r:id="rId7">
            <anchor moveWithCells="1">
              <from>
                <xdr:col>3</xdr:col>
                <xdr:colOff>219075</xdr:colOff>
                <xdr:row>56</xdr:row>
                <xdr:rowOff>9525</xdr:rowOff>
              </from>
              <to>
                <xdr:col>7</xdr:col>
                <xdr:colOff>2219325</xdr:colOff>
                <xdr:row>66</xdr:row>
                <xdr:rowOff>38100</xdr:rowOff>
              </to>
            </anchor>
          </objectPr>
        </oleObject>
      </mc:Choice>
      <mc:Fallback>
        <oleObject progId="Visio.Drawing.11" shapeId="1031" r:id="rId6"/>
      </mc:Fallback>
    </mc:AlternateContent>
    <mc:AlternateContent xmlns:mc="http://schemas.openxmlformats.org/markup-compatibility/2006">
      <mc:Choice Requires="x14">
        <oleObject progId="Visio.Drawing.11" shapeId="1040" r:id="rId8">
          <objectPr defaultSize="0" autoPict="0" r:id="rId9">
            <anchor moveWithCells="1">
              <from>
                <xdr:col>7</xdr:col>
                <xdr:colOff>495300</xdr:colOff>
                <xdr:row>72</xdr:row>
                <xdr:rowOff>123825</xdr:rowOff>
              </from>
              <to>
                <xdr:col>11</xdr:col>
                <xdr:colOff>266700</xdr:colOff>
                <xdr:row>86</xdr:row>
                <xdr:rowOff>171450</xdr:rowOff>
              </to>
            </anchor>
          </objectPr>
        </oleObject>
      </mc:Choice>
      <mc:Fallback>
        <oleObject progId="Visio.Drawing.11" shapeId="1040" r:id="rId8"/>
      </mc:Fallback>
    </mc:AlternateContent>
    <mc:AlternateContent xmlns:mc="http://schemas.openxmlformats.org/markup-compatibility/2006">
      <mc:Choice Requires="x14">
        <oleObject progId="Visio.Drawing.11" shapeId="1042" r:id="rId10">
          <objectPr defaultSize="0" autoPict="0" r:id="rId11">
            <anchor moveWithCells="1">
              <from>
                <xdr:col>9</xdr:col>
                <xdr:colOff>247650</xdr:colOff>
                <xdr:row>52</xdr:row>
                <xdr:rowOff>28575</xdr:rowOff>
              </from>
              <to>
                <xdr:col>17</xdr:col>
                <xdr:colOff>171450</xdr:colOff>
                <xdr:row>70</xdr:row>
                <xdr:rowOff>66675</xdr:rowOff>
              </to>
            </anchor>
          </objectPr>
        </oleObject>
      </mc:Choice>
      <mc:Fallback>
        <oleObject progId="Visio.Drawing.11" shapeId="1042" r:id="rId10"/>
      </mc:Fallback>
    </mc:AlternateContent>
    <mc:AlternateContent xmlns:mc="http://schemas.openxmlformats.org/markup-compatibility/2006">
      <mc:Choice Requires="x14">
        <oleObject progId="Visio.Drawing.11" shapeId="1043" r:id="rId12">
          <objectPr defaultSize="0" autoPict="0" r:id="rId13">
            <anchor moveWithCells="1">
              <from>
                <xdr:col>7</xdr:col>
                <xdr:colOff>1314450</xdr:colOff>
                <xdr:row>7</xdr:row>
                <xdr:rowOff>0</xdr:rowOff>
              </from>
              <to>
                <xdr:col>21</xdr:col>
                <xdr:colOff>9525</xdr:colOff>
                <xdr:row>42</xdr:row>
                <xdr:rowOff>161925</xdr:rowOff>
              </to>
            </anchor>
          </objectPr>
        </oleObject>
      </mc:Choice>
      <mc:Fallback>
        <oleObject progId="Visio.Drawing.11" shapeId="1043" r:id="rId12"/>
      </mc:Fallback>
    </mc:AlternateContent>
    <mc:AlternateContent xmlns:mc="http://schemas.openxmlformats.org/markup-compatibility/2006">
      <mc:Choice Requires="x14">
        <oleObject progId="Visio.Drawing.11" shapeId="1046" r:id="rId14">
          <objectPr defaultSize="0" autoPict="0" r:id="rId15">
            <anchor moveWithCells="1" sizeWithCells="1">
              <from>
                <xdr:col>3</xdr:col>
                <xdr:colOff>200025</xdr:colOff>
                <xdr:row>39</xdr:row>
                <xdr:rowOff>19050</xdr:rowOff>
              </from>
              <to>
                <xdr:col>7</xdr:col>
                <xdr:colOff>1133475</xdr:colOff>
                <xdr:row>53</xdr:row>
                <xdr:rowOff>19050</xdr:rowOff>
              </to>
            </anchor>
          </objectPr>
        </oleObject>
      </mc:Choice>
      <mc:Fallback>
        <oleObject progId="Visio.Drawing.11" shapeId="1046" r:id="rId14"/>
      </mc:Fallback>
    </mc:AlternateContent>
    <mc:AlternateContent xmlns:mc="http://schemas.openxmlformats.org/markup-compatibility/2006">
      <mc:Choice Requires="x14">
        <oleObject progId="Visio.Drawing.11" shapeId="1047" r:id="rId16">
          <objectPr defaultSize="0" autoPict="0" r:id="rId17">
            <anchor moveWithCells="1">
              <from>
                <xdr:col>7</xdr:col>
                <xdr:colOff>742950</xdr:colOff>
                <xdr:row>87</xdr:row>
                <xdr:rowOff>38100</xdr:rowOff>
              </from>
              <to>
                <xdr:col>9</xdr:col>
                <xdr:colOff>695325</xdr:colOff>
                <xdr:row>104</xdr:row>
                <xdr:rowOff>133350</xdr:rowOff>
              </to>
            </anchor>
          </objectPr>
        </oleObject>
      </mc:Choice>
      <mc:Fallback>
        <oleObject progId="Visio.Drawing.11" shapeId="1047" r:id="rId16"/>
      </mc:Fallback>
    </mc:AlternateContent>
    <mc:AlternateContent xmlns:mc="http://schemas.openxmlformats.org/markup-compatibility/2006">
      <mc:Choice Requires="x14">
        <oleObject progId="Visio.Drawing.11" shapeId="1049" r:id="rId18">
          <objectPr defaultSize="0" autoPict="0" r:id="rId19">
            <anchor moveWithCells="1" sizeWithCells="1">
              <from>
                <xdr:col>10</xdr:col>
                <xdr:colOff>209550</xdr:colOff>
                <xdr:row>110</xdr:row>
                <xdr:rowOff>76200</xdr:rowOff>
              </from>
              <to>
                <xdr:col>15</xdr:col>
                <xdr:colOff>9525</xdr:colOff>
                <xdr:row>121</xdr:row>
                <xdr:rowOff>28575</xdr:rowOff>
              </to>
            </anchor>
          </objectPr>
        </oleObject>
      </mc:Choice>
      <mc:Fallback>
        <oleObject progId="Visio.Drawing.11" shapeId="1049" r:id="rId1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39</vt:i4>
      </vt:variant>
    </vt:vector>
  </HeadingPairs>
  <TitlesOfParts>
    <vt:vector size="40" baseType="lpstr">
      <vt:lpstr>FAN9673 Design Tool</vt:lpstr>
      <vt:lpstr>AA</vt:lpstr>
      <vt:lpstr>CBULK</vt:lpstr>
      <vt:lpstr>D</vt:lpstr>
      <vt:lpstr>EE</vt:lpstr>
      <vt:lpstr>Eff</vt:lpstr>
      <vt:lpstr>fH</vt:lpstr>
      <vt:lpstr>fIC</vt:lpstr>
      <vt:lpstr>fIP</vt:lpstr>
      <vt:lpstr>fsw</vt:lpstr>
      <vt:lpstr>fVC</vt:lpstr>
      <vt:lpstr>fVH</vt:lpstr>
      <vt:lpstr>fVP</vt:lpstr>
      <vt:lpstr>GMI</vt:lpstr>
      <vt:lpstr>GMV</vt:lpstr>
      <vt:lpstr>Idavg</vt:lpstr>
      <vt:lpstr>kk</vt:lpstr>
      <vt:lpstr>L</vt:lpstr>
      <vt:lpstr>Nch</vt:lpstr>
      <vt:lpstr>Pin</vt:lpstr>
      <vt:lpstr>PO</vt:lpstr>
      <vt:lpstr>Pout</vt:lpstr>
      <vt:lpstr>RCS</vt:lpstr>
      <vt:lpstr>RFBA</vt:lpstr>
      <vt:lpstr>RFBB</vt:lpstr>
      <vt:lpstr>RFBBO</vt:lpstr>
      <vt:lpstr>RIC</vt:lpstr>
      <vt:lpstr>RIC.</vt:lpstr>
      <vt:lpstr>RLOAD</vt:lpstr>
      <vt:lpstr>Vac.max</vt:lpstr>
      <vt:lpstr>Vbi</vt:lpstr>
      <vt:lpstr>VBO</vt:lpstr>
      <vt:lpstr>VEAD</vt:lpstr>
      <vt:lpstr>VEAH</vt:lpstr>
      <vt:lpstr>VIN</vt:lpstr>
      <vt:lpstr>Vin.pk</vt:lpstr>
      <vt:lpstr>Vout</vt:lpstr>
      <vt:lpstr>VPFC</vt:lpstr>
      <vt:lpstr>VRAMP</vt:lpstr>
      <vt:lpstr>VVEAMAX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2022-08-17T08:14:02Z</dcterms:modified>
</cp:coreProperties>
</file>